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25 год\Отчёты за 2025 год\Отчёт за 9 месяцев 2025\"/>
    </mc:Choice>
  </mc:AlternateContent>
  <xr:revisionPtr revIDLastSave="0" documentId="13_ncr:1_{A0F85CF6-1897-478C-9E5E-C1C942BD21A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таблица № 5" sheetId="2" r:id="rId1"/>
  </sheets>
  <definedNames>
    <definedName name="_xlnm._FilterDatabase" localSheetId="0" hidden="1">'таблица № 5'!$A$7:$F$78</definedName>
    <definedName name="_xlnm.Print_Titles" localSheetId="0">'таблица № 5'!$6:$7</definedName>
    <definedName name="_xlnm.Print_Area" localSheetId="0">'таблица № 5'!$A$1:$N$78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67" i="2" l="1"/>
  <c r="G44" i="2"/>
  <c r="G55" i="2"/>
  <c r="G50" i="2"/>
  <c r="G58" i="2"/>
  <c r="G29" i="2"/>
  <c r="G28" i="2"/>
  <c r="G43" i="2"/>
  <c r="G17" i="2"/>
  <c r="G14" i="2"/>
  <c r="G11" i="2"/>
  <c r="G12" i="2"/>
  <c r="G18" i="2"/>
  <c r="G21" i="2"/>
  <c r="G22" i="2"/>
  <c r="G13" i="2"/>
  <c r="G9" i="2"/>
  <c r="G10" i="2"/>
  <c r="G74" i="2"/>
  <c r="N77" i="2" l="1"/>
  <c r="I77" i="2"/>
  <c r="K77" i="2"/>
  <c r="M77" i="2"/>
  <c r="G77" i="2"/>
  <c r="N75" i="2"/>
  <c r="N76" i="2"/>
  <c r="L75" i="2"/>
  <c r="L76" i="2"/>
  <c r="L77" i="2" s="1"/>
  <c r="J75" i="2"/>
  <c r="J76" i="2"/>
  <c r="H75" i="2"/>
  <c r="H76" i="2"/>
  <c r="K70" i="2"/>
  <c r="M70" i="2"/>
  <c r="I70" i="2"/>
  <c r="G70" i="2"/>
  <c r="M35" i="2"/>
  <c r="M65" i="2"/>
  <c r="G65" i="2"/>
  <c r="N64" i="2"/>
  <c r="K65" i="2"/>
  <c r="L64" i="2"/>
  <c r="I65" i="2"/>
  <c r="J64" i="2"/>
  <c r="H64" i="2"/>
  <c r="F65" i="2"/>
  <c r="E65" i="2"/>
  <c r="D65" i="2"/>
  <c r="I28" i="2"/>
  <c r="M59" i="2"/>
  <c r="K59" i="2"/>
  <c r="I59" i="2"/>
  <c r="G59" i="2"/>
  <c r="M53" i="2"/>
  <c r="K53" i="2"/>
  <c r="G53" i="2"/>
  <c r="M45" i="2"/>
  <c r="K45" i="2"/>
  <c r="I42" i="2"/>
  <c r="G42" i="2"/>
  <c r="M42" i="2"/>
  <c r="K42" i="2"/>
  <c r="M37" i="2"/>
  <c r="K37" i="2"/>
  <c r="I37" i="2"/>
  <c r="G37" i="2"/>
  <c r="I35" i="2"/>
  <c r="G35" i="2"/>
  <c r="K35" i="2"/>
  <c r="M47" i="2"/>
  <c r="K47" i="2"/>
  <c r="I47" i="2"/>
  <c r="G47" i="2"/>
  <c r="M31" i="2"/>
  <c r="K31" i="2"/>
  <c r="I31" i="2"/>
  <c r="G31" i="2"/>
  <c r="H29" i="2"/>
  <c r="I18" i="2" l="1"/>
  <c r="M12" i="2"/>
  <c r="K12" i="2"/>
  <c r="I12" i="2"/>
  <c r="M72" i="2" l="1"/>
  <c r="N71" i="2"/>
  <c r="L71" i="2"/>
  <c r="K72" i="2"/>
  <c r="F72" i="2"/>
  <c r="E72" i="2"/>
  <c r="D72" i="2"/>
  <c r="C72" i="2"/>
  <c r="H71" i="2"/>
  <c r="J71" i="2"/>
  <c r="I72" i="2"/>
  <c r="G72" i="2"/>
  <c r="G45" i="2"/>
  <c r="I45" i="2"/>
  <c r="N61" i="2"/>
  <c r="N62" i="2"/>
  <c r="N63" i="2"/>
  <c r="L61" i="2"/>
  <c r="L62" i="2"/>
  <c r="L63" i="2"/>
  <c r="J61" i="2"/>
  <c r="J62" i="2"/>
  <c r="J63" i="2"/>
  <c r="H61" i="2"/>
  <c r="H62" i="2"/>
  <c r="H63" i="2"/>
  <c r="C65" i="2"/>
  <c r="N70" i="2" l="1"/>
  <c r="L70" i="2"/>
  <c r="L72" i="2"/>
  <c r="J70" i="2"/>
  <c r="H70" i="2"/>
  <c r="B72" i="2"/>
  <c r="N60" i="2"/>
  <c r="L60" i="2"/>
  <c r="J60" i="2"/>
  <c r="J65" i="2"/>
  <c r="H60" i="2"/>
  <c r="B65" i="2"/>
  <c r="J59" i="2"/>
  <c r="L55" i="2"/>
  <c r="I53" i="2"/>
  <c r="L53" i="2" s="1"/>
  <c r="L51" i="2"/>
  <c r="N47" i="2"/>
  <c r="J47" i="2"/>
  <c r="L45" i="2"/>
  <c r="L42" i="2"/>
  <c r="J37" i="2"/>
  <c r="J35" i="2"/>
  <c r="L18" i="2"/>
  <c r="M26" i="2"/>
  <c r="L12" i="2"/>
  <c r="N74" i="2"/>
  <c r="N68" i="2"/>
  <c r="N69" i="2"/>
  <c r="N67" i="2"/>
  <c r="N29" i="2"/>
  <c r="N30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8" i="2"/>
  <c r="N49" i="2"/>
  <c r="N50" i="2"/>
  <c r="N51" i="2"/>
  <c r="N52" i="2"/>
  <c r="N53" i="2"/>
  <c r="N54" i="2"/>
  <c r="N55" i="2"/>
  <c r="N56" i="2"/>
  <c r="N57" i="2"/>
  <c r="N58" i="2"/>
  <c r="N59" i="2"/>
  <c r="N28" i="2"/>
  <c r="N10" i="2"/>
  <c r="N11" i="2"/>
  <c r="N13" i="2"/>
  <c r="N14" i="2"/>
  <c r="N15" i="2"/>
  <c r="N16" i="2"/>
  <c r="N17" i="2"/>
  <c r="N19" i="2"/>
  <c r="N20" i="2"/>
  <c r="N21" i="2"/>
  <c r="N22" i="2"/>
  <c r="N23" i="2"/>
  <c r="N24" i="2"/>
  <c r="N25" i="2"/>
  <c r="N9" i="2"/>
  <c r="L74" i="2"/>
  <c r="L68" i="2"/>
  <c r="L69" i="2"/>
  <c r="L67" i="2"/>
  <c r="L29" i="2"/>
  <c r="L30" i="2"/>
  <c r="L32" i="2"/>
  <c r="L33" i="2"/>
  <c r="L34" i="2"/>
  <c r="L36" i="2"/>
  <c r="L37" i="2"/>
  <c r="L38" i="2"/>
  <c r="L39" i="2"/>
  <c r="L40" i="2"/>
  <c r="L41" i="2"/>
  <c r="L43" i="2"/>
  <c r="L44" i="2"/>
  <c r="L46" i="2"/>
  <c r="L48" i="2"/>
  <c r="L49" i="2"/>
  <c r="L50" i="2"/>
  <c r="L52" i="2"/>
  <c r="L54" i="2"/>
  <c r="L56" i="2"/>
  <c r="L57" i="2"/>
  <c r="L58" i="2"/>
  <c r="L28" i="2"/>
  <c r="L10" i="2"/>
  <c r="L11" i="2"/>
  <c r="L13" i="2"/>
  <c r="L14" i="2"/>
  <c r="L15" i="2"/>
  <c r="L16" i="2"/>
  <c r="L17" i="2"/>
  <c r="L19" i="2"/>
  <c r="L20" i="2"/>
  <c r="L21" i="2"/>
  <c r="L22" i="2"/>
  <c r="L23" i="2"/>
  <c r="L24" i="2"/>
  <c r="L25" i="2"/>
  <c r="L9" i="2"/>
  <c r="J74" i="2"/>
  <c r="J77" i="2" s="1"/>
  <c r="J68" i="2"/>
  <c r="J69" i="2"/>
  <c r="J67" i="2"/>
  <c r="J29" i="2"/>
  <c r="J30" i="2"/>
  <c r="J32" i="2"/>
  <c r="J33" i="2"/>
  <c r="J34" i="2"/>
  <c r="J36" i="2"/>
  <c r="J38" i="2"/>
  <c r="J39" i="2"/>
  <c r="J40" i="2"/>
  <c r="J41" i="2"/>
  <c r="J43" i="2"/>
  <c r="J44" i="2"/>
  <c r="J46" i="2"/>
  <c r="J48" i="2"/>
  <c r="J49" i="2"/>
  <c r="J50" i="2"/>
  <c r="J51" i="2"/>
  <c r="J52" i="2"/>
  <c r="J54" i="2"/>
  <c r="J55" i="2"/>
  <c r="J56" i="2"/>
  <c r="J57" i="2"/>
  <c r="J58" i="2"/>
  <c r="J28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9" i="2"/>
  <c r="H74" i="2"/>
  <c r="H77" i="2" s="1"/>
  <c r="H68" i="2"/>
  <c r="H69" i="2"/>
  <c r="H67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28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9" i="2"/>
  <c r="G26" i="2"/>
  <c r="B77" i="2"/>
  <c r="C77" i="2"/>
  <c r="D77" i="2"/>
  <c r="E77" i="2"/>
  <c r="I26" i="2"/>
  <c r="B26" i="2"/>
  <c r="C26" i="2"/>
  <c r="D26" i="2"/>
  <c r="E26" i="2"/>
  <c r="F26" i="2"/>
  <c r="F77" i="2"/>
  <c r="J72" i="2" l="1"/>
  <c r="N72" i="2"/>
  <c r="H65" i="2"/>
  <c r="L65" i="2"/>
  <c r="N65" i="2"/>
  <c r="N12" i="2"/>
  <c r="M78" i="2"/>
  <c r="L59" i="2"/>
  <c r="J53" i="2"/>
  <c r="L47" i="2"/>
  <c r="J45" i="2"/>
  <c r="J42" i="2"/>
  <c r="L35" i="2"/>
  <c r="N31" i="2"/>
  <c r="L31" i="2"/>
  <c r="J31" i="2"/>
  <c r="I78" i="2"/>
  <c r="N18" i="2"/>
  <c r="K26" i="2"/>
  <c r="L26" i="2"/>
  <c r="J26" i="2"/>
  <c r="B78" i="2"/>
  <c r="F78" i="2"/>
  <c r="H72" i="2"/>
  <c r="E78" i="2"/>
  <c r="D78" i="2"/>
  <c r="C78" i="2"/>
  <c r="H26" i="2"/>
  <c r="G78" i="2"/>
  <c r="N26" i="2" l="1"/>
  <c r="N78" i="2" s="1"/>
  <c r="L78" i="2"/>
  <c r="K78" i="2"/>
  <c r="J78" i="2"/>
  <c r="H78" i="2"/>
</calcChain>
</file>

<file path=xl/sharedStrings.xml><?xml version="1.0" encoding="utf-8"?>
<sst xmlns="http://schemas.openxmlformats.org/spreadsheetml/2006/main" count="87" uniqueCount="87">
  <si>
    <t>Наименование</t>
  </si>
  <si>
    <t>Субвенции</t>
  </si>
  <si>
    <t>Субвенции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</si>
  <si>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Дотации</t>
  </si>
  <si>
    <t>Субвенции на осуществление отдельных государственных полномочий в сфере трудовых отношений и государственного управления охраной труда</t>
  </si>
  <si>
    <t>Субвенции на организацию и обеспечение отдыха и оздоровления детей, в том числе в этнической среде</t>
  </si>
  <si>
    <t>Субвенции на реализацию полномочий, указанных в пунктах 3.1, 3.2 статьи 2 Закона ХМАО-Югры от 31 марта 2009 года № 36-оз "О наделении органов местного самоуправления муниципальных образований ХМАО-Югры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</si>
  <si>
    <t>Субвенции на организацию осуществления мероприятий по проведению дезинсекции и дератизации в Ханты-Мансийском автономном округе – Югре</t>
  </si>
  <si>
    <t xml:space="preserve">Итого субвенций </t>
  </si>
  <si>
    <t>Субсидии 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территориях муниципальных образований Ханты-Мансийского автономного округа – Югры</t>
  </si>
  <si>
    <t>Субсидии на создание условий для деятельности народных дружин</t>
  </si>
  <si>
    <t>Субсидии на реализацию полномочий в сфере жилищно-коммунального комплекса</t>
  </si>
  <si>
    <t xml:space="preserve">Субсидии </t>
  </si>
  <si>
    <t>Итого субсидии</t>
  </si>
  <si>
    <t xml:space="preserve">Иные межбюджетные трансферты
</t>
  </si>
  <si>
    <t xml:space="preserve">Иные межбюджетные трансферты на реализацию мероприятий содействие трудоустройству граждан </t>
  </si>
  <si>
    <t>Итого иные межбюджетные трансферты</t>
  </si>
  <si>
    <t xml:space="preserve">Итого дотации </t>
  </si>
  <si>
    <t xml:space="preserve">Всего </t>
  </si>
  <si>
    <t>Субсидии на реализацию программ формирования современной городской среды</t>
  </si>
  <si>
    <t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- в лагерях труда и отдыха с дневным пребыванием детей</t>
  </si>
  <si>
    <t>Субвенции на 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</t>
  </si>
  <si>
    <t>Субсидии на развитие сферы культуры в муниципальных образованиях Ханты-Мансийского автономного округа-Югры</t>
  </si>
  <si>
    <t>Субсидии на развитие материально-технической базы муниципальных учреждений спорта</t>
  </si>
  <si>
    <t>Субсидии на обеспечение устойчивого сокращения непригодного для проживания жилищного фонда</t>
  </si>
  <si>
    <t>Субвенции на организацию мероприятий при осуществлении деятельности по обращению с животными без владельцев</t>
  </si>
  <si>
    <t>Субвенции  на осуществление переданных полномочий Российской Федерации на государственную регистрацию актов гражданского состояния</t>
  </si>
  <si>
    <t>Субвенции на осуществление отдельных
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- Югры от 11 июня 2010 года № 102-оз "Об административных правонарушениях"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</si>
  <si>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</si>
  <si>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Субсидий на софинансирование расходов муниципальных образований по развитию сети спортивных объектов шаговой доступности</t>
  </si>
  <si>
    <t>Субвенция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Ханты-Мансийского автономного округа - Югры отдельных государственных полномочий в области образования</t>
  </si>
  <si>
    <t>Дотации на поддержку мер по обеспечению сбалансированности бюджетов городских округов и муниципальных районов Ханты-Мансийского автономного округа – Югры</t>
  </si>
  <si>
    <t>Субсидии на создание образовательных организаций, организаций для отдыха и оздоровления детей</t>
  </si>
  <si>
    <t>Субсидии для реализации полномочий в области строительства и жилищных отношений</t>
  </si>
  <si>
    <t>Субсидии для реализации полномочий в области градостроительной деятельности</t>
  </si>
  <si>
    <t>Субсидии на государственную поддержку организаций, входящих в систему спортивной подготовки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</si>
  <si>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</si>
  <si>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на софинансирование расходов муниципальных образований по обеспечению образовательных организаций, осуществляющих подготовку спортивного резерва</t>
  </si>
  <si>
    <t>Субсидии  на поддержку творческой деятельности и техническое оснащение детских и кукольных театров</t>
  </si>
  <si>
    <t>Субвенции  на поддержку сельскохозяйственного производства и деятельности по заготовке и переработке дикоросов</t>
  </si>
  <si>
    <t>Субвенции на предоставление компенсации части родительской платы в связи с освобождением от взимания родительской платы за присмотр и уход за детьми в организациях, осуществляющих образовательную деятельность по реализации образовательной программы дошкольного образования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</si>
  <si>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Российской Федерации</t>
  </si>
  <si>
    <t>Субвенции на осуществление полномочий по обеспечению жильём отдельных категорий граждан, установленных Федеральным законом от 12 января 1995 года № 5-ФЗ "О ветеранах"</t>
  </si>
  <si>
    <t>Субвенции на осуществление полномочий по обеспечению жильём отдельных категорий граждан, установленных Федеральным законом от 24 ноября 1995 года № 181-ФЗ «О социальной защите инвалидов в Российской Федерации»</t>
  </si>
  <si>
    <t>Субсидии на государственную поддержку отрасли культуры (Комплектование книжных фондов библиотек муниципальных образований автономного округа)</t>
  </si>
  <si>
    <t>Субсидии на финансовую поддержку субъектов малого и среднего предпринимательства и развитие социального предпринимательства</t>
  </si>
  <si>
    <t xml:space="preserve">Субсидии на выполнение дорожных работ в соответствии с программой дорожной деятельности (Средства дорожного фонда Ханты-Мансийского автономного округа - Югры) </t>
  </si>
  <si>
    <t xml:space="preserve">Субсидии на приведение автомобильных дорог местного значения в нормативное состояние (Средства дорожного фонда Ханты-Мансийского автономного округа - Югры) </t>
  </si>
  <si>
    <t>Субсидии 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иностранных граждан, профилактики экстремизма</t>
  </si>
  <si>
    <t>Субсидии на реализацию мероприятий по обеспечению жильём молодых семей</t>
  </si>
  <si>
    <t>Субсидии на создание (реконструкцию) объектов спортивной инфраструктуры массового спорта на основании концессионных соглашений</t>
  </si>
  <si>
    <t>Субсидии на капитальный ремонт муниципальных учреждений культуры, образования, спорта и иных социальных учреждений</t>
  </si>
  <si>
    <t xml:space="preserve">Субсидии  на реализацию мероприятий по модернизации коммунальной инфраструктуры </t>
  </si>
  <si>
    <t>Субсидии на 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</t>
  </si>
  <si>
    <t>Субсидии на реконструкцию, расширение, модернизацию, строительство коммунальных объектов</t>
  </si>
  <si>
    <t>Субсидии  на реализацию мероприятий по модернизации коммунальной инфраструктуры Ханты-Мансийского автономного округа - Югры</t>
  </si>
  <si>
    <t>Субсидии на модернизацию региональных и муниципальных библиотек</t>
  </si>
  <si>
    <t>Субсидии на создание (реконструкцию) объектов спортивной инфраструктуры массового спорта на основании концессионных соглашений о государственно-частном (муниципально-частном) партнёрстве или концессионных соглашений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</si>
  <si>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</si>
  <si>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Сумма восста-новленного неиспользо-ванного оста-тка прошлых лет</t>
  </si>
  <si>
    <t xml:space="preserve">Возвращено неиспользован-ных остатков прошлых лет в бюджеты других уровней </t>
  </si>
  <si>
    <t xml:space="preserve"> Первоначальный план </t>
  </si>
  <si>
    <t>Уточнённый    план по решению о бюджете</t>
  </si>
  <si>
    <t>Изменение плановых назначений               (гр.7-гр.6)</t>
  </si>
  <si>
    <t>Фактический план на конец отчётного периода</t>
  </si>
  <si>
    <t>Отклонение между фактическим планом и решением о бюджете                          (гр.9-гр.7)</t>
  </si>
  <si>
    <t>Фактически поступило в бюджет</t>
  </si>
  <si>
    <t>Не поступило      (гр.11-гр.9)</t>
  </si>
  <si>
    <t>Израсходовано</t>
  </si>
  <si>
    <t>(рубль)</t>
  </si>
  <si>
    <t xml:space="preserve">Остаток на 01.01.2025 </t>
  </si>
  <si>
    <t>Иные межбюджетные трансферты на реализацию наказов избирателей депутатам Думы Ханты-Мансийского автономного округа - Югры</t>
  </si>
  <si>
    <t>Субсидии на реализацию инициативных проектов, отобранных по результатам конкурса</t>
  </si>
  <si>
    <t xml:space="preserve">Субсидии на строительство и реконструкцию объектов, предназначенных для размещения муниципальных учреждений культуры </t>
  </si>
  <si>
    <t xml:space="preserve">Иные межбюджетные трансферты победителям конкурсов муниципальных образований Ханты-Мансийского автономного округа – Югры в сфере организации мероприятий по профилактике незаконного потребления наркотических средств и психотропных веществ, наркомании  </t>
  </si>
  <si>
    <t>5. Информация об использовании субвенций, субсидий и межбюджетных трансфертов за 9 месяцев 2025 года</t>
  </si>
  <si>
    <t>Остаток на 01.10.2025   (гр.2+гр.3-гр.4+гр.5+гр.11-гр.13)</t>
  </si>
  <si>
    <t>Субсидии на обеспечение жильём граждан из числа коренных малочисленных народов Ханты-Мансийского автономного округа - Югры</t>
  </si>
  <si>
    <t>Дотации на поощрение достижения высоких показателей качества организации и осуществления бюджетного процесса в городских округах и муниципальных районах Ханты-Мансийского автономного округа – Югры</t>
  </si>
  <si>
    <t>Дотации в целях стимулирования роста налогового потенциала и качества планирования доходов в городских округах и муниципальных районах Ханты-Мансийского автономного округа – Югры</t>
  </si>
  <si>
    <t>Иные 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</si>
  <si>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 xml:space="preserve">Возвращено в местный бюд-жет в объёме потребности в расходовании </t>
  </si>
  <si>
    <t>Субвенции на осуществление полномочий по хранению, комплектованию, учёту и использованию архивных документов, относящихся к государственной собственности Ханты-Мансийского автономного округа - Югры</t>
  </si>
  <si>
    <t>Субвенции на осуществление отдельных полномочий Ханты-Мансийского автономного округа – Югры в сфере обращения с твёрдыми коммунальными отходами</t>
  </si>
  <si>
    <t>Субсидии 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</t>
  </si>
  <si>
    <t>Субсидии на проектирование, строительство, реконструкция (модернизация), капитальный ремонт объектов коммунальной инфраструктуры (в сферах теплоснабжения, водоснабжения и водоотведения) за счёт средств бюджета Ханты-Мансийского автономного округа – Югры</t>
  </si>
  <si>
    <t xml:space="preserve">Субсидии на реализацию мероприятий муниципальных программ (подпрограмм), направленных на развитие форм непосредственного осуществления населением местного самоуправления и участия населения в осуществлении местного самоуправления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</si>
</sst>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#,##0.00\ _₽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i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5">
    <xf numFmtId="0" fontId="0" fillId="0" borderId="0"/>
    <xf numFmtId="0" fontId="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  <xf numFmtId="164" fontId="21" fillId="0" borderId="0" applyFont="0" applyFill="0" applyBorder="0" applyAlignment="0" applyProtection="0"/>
  </cellStyleXfs>
  <cellXfs count="63">
    <xf numFmtId="0" fontId="0" fillId="0" borderId="0" xfId="0"/>
    <xf numFmtId="3" fontId="19" fillId="0" borderId="10" xfId="0" applyNumberFormat="1" applyFont="1" applyFill="1" applyBorder="1" applyAlignment="1">
      <alignment horizontal="center" vertical="center"/>
    </xf>
    <xf numFmtId="3" fontId="19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0" xfId="0" applyFont="1" applyFill="1" applyBorder="1"/>
    <xf numFmtId="3" fontId="19" fillId="0" borderId="0" xfId="37" applyNumberFormat="1" applyFont="1" applyFill="1" applyBorder="1" applyAlignment="1">
      <alignment horizontal="center" vertical="center" wrapText="1"/>
    </xf>
    <xf numFmtId="0" fontId="20" fillId="0" borderId="0" xfId="0" applyFont="1" applyFill="1" applyBorder="1"/>
    <xf numFmtId="2" fontId="19" fillId="0" borderId="0" xfId="0" applyNumberFormat="1" applyFont="1" applyFill="1" applyBorder="1" applyAlignment="1">
      <alignment horizontal="left" vertical="distributed" wrapText="1"/>
    </xf>
    <xf numFmtId="2" fontId="19" fillId="0" borderId="0" xfId="37" applyNumberFormat="1" applyFont="1" applyFill="1" applyBorder="1" applyAlignment="1">
      <alignment horizontal="left" vertical="distributed" wrapText="1"/>
    </xf>
    <xf numFmtId="2" fontId="20" fillId="0" borderId="10" xfId="37" applyNumberFormat="1" applyFont="1" applyFill="1" applyBorder="1" applyAlignment="1">
      <alignment horizontal="left" vertical="center" wrapText="1"/>
    </xf>
    <xf numFmtId="2" fontId="19" fillId="0" borderId="0" xfId="37" applyNumberFormat="1" applyFont="1" applyFill="1" applyBorder="1" applyAlignment="1">
      <alignment horizontal="left" vertical="center" wrapText="1"/>
    </xf>
    <xf numFmtId="1" fontId="19" fillId="0" borderId="10" xfId="37" applyNumberFormat="1" applyFont="1" applyFill="1" applyBorder="1" applyAlignment="1">
      <alignment horizontal="center" vertical="distributed" wrapText="1"/>
    </xf>
    <xf numFmtId="0" fontId="20" fillId="0" borderId="0" xfId="0" applyFont="1" applyFill="1" applyBorder="1" applyAlignment="1">
      <alignment horizontal="left"/>
    </xf>
    <xf numFmtId="2" fontId="20" fillId="0" borderId="10" xfId="0" applyNumberFormat="1" applyFont="1" applyFill="1" applyBorder="1" applyAlignment="1">
      <alignment horizontal="left" vertical="center" wrapText="1"/>
    </xf>
    <xf numFmtId="2" fontId="22" fillId="0" borderId="0" xfId="0" applyNumberFormat="1" applyFont="1" applyFill="1" applyAlignment="1">
      <alignment horizontal="left" vertical="center" wrapText="1"/>
    </xf>
    <xf numFmtId="2" fontId="19" fillId="24" borderId="10" xfId="0" applyNumberFormat="1" applyFont="1" applyFill="1" applyBorder="1" applyAlignment="1">
      <alignment horizontal="left" vertical="center" wrapText="1"/>
    </xf>
    <xf numFmtId="0" fontId="19" fillId="24" borderId="0" xfId="0" applyFont="1" applyFill="1" applyBorder="1" applyAlignment="1">
      <alignment horizontal="center" vertical="center"/>
    </xf>
    <xf numFmtId="0" fontId="19" fillId="24" borderId="0" xfId="0" applyFont="1" applyFill="1" applyBorder="1"/>
    <xf numFmtId="2" fontId="20" fillId="24" borderId="10" xfId="37" applyNumberFormat="1" applyFont="1" applyFill="1" applyBorder="1" applyAlignment="1">
      <alignment horizontal="left" vertical="center" wrapText="1"/>
    </xf>
    <xf numFmtId="0" fontId="20" fillId="24" borderId="0" xfId="0" applyFont="1" applyFill="1" applyBorder="1"/>
    <xf numFmtId="0" fontId="19" fillId="24" borderId="0" xfId="0" applyFont="1" applyFill="1" applyBorder="1" applyAlignment="1">
      <alignment vertical="center"/>
    </xf>
    <xf numFmtId="0" fontId="20" fillId="24" borderId="0" xfId="0" applyFont="1" applyFill="1" applyBorder="1" applyAlignment="1">
      <alignment vertical="center"/>
    </xf>
    <xf numFmtId="2" fontId="19" fillId="24" borderId="10" xfId="37" applyNumberFormat="1" applyFont="1" applyFill="1" applyBorder="1" applyAlignment="1">
      <alignment horizontal="left" vertical="center" wrapText="1"/>
    </xf>
    <xf numFmtId="4" fontId="20" fillId="0" borderId="10" xfId="37" applyNumberFormat="1" applyFont="1" applyBorder="1" applyAlignment="1">
      <alignment horizontal="center" vertical="center" wrapText="1"/>
    </xf>
    <xf numFmtId="2" fontId="20" fillId="0" borderId="14" xfId="37" applyNumberFormat="1" applyFont="1" applyFill="1" applyBorder="1" applyAlignment="1">
      <alignment horizontal="center" vertical="distributed" wrapText="1"/>
    </xf>
    <xf numFmtId="4" fontId="20" fillId="0" borderId="14" xfId="37" applyNumberFormat="1" applyFont="1" applyBorder="1" applyAlignment="1">
      <alignment horizontal="center" vertical="center" wrapText="1"/>
    </xf>
    <xf numFmtId="3" fontId="20" fillId="0" borderId="14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right"/>
    </xf>
    <xf numFmtId="165" fontId="19" fillId="24" borderId="11" xfId="44" applyNumberFormat="1" applyFont="1" applyFill="1" applyBorder="1" applyAlignment="1">
      <alignment horizontal="center" vertical="center"/>
    </xf>
    <xf numFmtId="165" fontId="19" fillId="24" borderId="10" xfId="44" applyNumberFormat="1" applyFont="1" applyFill="1" applyBorder="1" applyAlignment="1">
      <alignment horizontal="center" vertical="center"/>
    </xf>
    <xf numFmtId="165" fontId="19" fillId="24" borderId="11" xfId="44" applyNumberFormat="1" applyFont="1" applyFill="1" applyBorder="1" applyAlignment="1">
      <alignment horizontal="center" vertical="center" wrapText="1"/>
    </xf>
    <xf numFmtId="165" fontId="20" fillId="24" borderId="11" xfId="44" applyNumberFormat="1" applyFont="1" applyFill="1" applyBorder="1" applyAlignment="1">
      <alignment horizontal="center" vertical="center" wrapText="1"/>
    </xf>
    <xf numFmtId="165" fontId="19" fillId="24" borderId="10" xfId="44" applyNumberFormat="1" applyFont="1" applyFill="1" applyBorder="1" applyAlignment="1">
      <alignment horizontal="center" vertical="center" wrapText="1"/>
    </xf>
    <xf numFmtId="165" fontId="20" fillId="24" borderId="10" xfId="44" applyNumberFormat="1" applyFont="1" applyFill="1" applyBorder="1" applyAlignment="1">
      <alignment horizontal="center" vertical="center"/>
    </xf>
    <xf numFmtId="165" fontId="20" fillId="24" borderId="11" xfId="44" applyNumberFormat="1" applyFont="1" applyFill="1" applyBorder="1" applyAlignment="1">
      <alignment horizontal="center" vertical="center"/>
    </xf>
    <xf numFmtId="165" fontId="19" fillId="24" borderId="11" xfId="37" applyNumberFormat="1" applyFont="1" applyFill="1" applyBorder="1" applyAlignment="1">
      <alignment horizontal="center" vertical="center" wrapText="1"/>
    </xf>
    <xf numFmtId="165" fontId="20" fillId="24" borderId="11" xfId="0" applyNumberFormat="1" applyFont="1" applyFill="1" applyBorder="1" applyAlignment="1">
      <alignment horizontal="center" vertical="center" wrapText="1"/>
    </xf>
    <xf numFmtId="165" fontId="19" fillId="24" borderId="10" xfId="37" applyNumberFormat="1" applyFont="1" applyFill="1" applyBorder="1" applyAlignment="1">
      <alignment horizontal="center" vertical="center" wrapText="1"/>
    </xf>
    <xf numFmtId="165" fontId="20" fillId="0" borderId="11" xfId="37" applyNumberFormat="1" applyFont="1" applyFill="1" applyBorder="1" applyAlignment="1">
      <alignment horizontal="center" vertical="center" wrapText="1"/>
    </xf>
    <xf numFmtId="165" fontId="19" fillId="24" borderId="10" xfId="0" applyNumberFormat="1" applyFont="1" applyFill="1" applyBorder="1" applyAlignment="1">
      <alignment horizontal="center" vertical="center" wrapText="1"/>
    </xf>
    <xf numFmtId="165" fontId="20" fillId="0" borderId="10" xfId="37" applyNumberFormat="1" applyFont="1" applyFill="1" applyBorder="1" applyAlignment="1">
      <alignment horizontal="center" vertical="center" wrapText="1"/>
    </xf>
    <xf numFmtId="0" fontId="23" fillId="0" borderId="10" xfId="0" applyFont="1" applyBorder="1" applyAlignment="1">
      <alignment wrapText="1"/>
    </xf>
    <xf numFmtId="0" fontId="23" fillId="24" borderId="10" xfId="0" applyFont="1" applyFill="1" applyBorder="1" applyAlignment="1">
      <alignment wrapText="1"/>
    </xf>
    <xf numFmtId="0" fontId="24" fillId="0" borderId="0" xfId="0" applyFont="1" applyFill="1" applyBorder="1"/>
    <xf numFmtId="164" fontId="24" fillId="0" borderId="0" xfId="44" applyFont="1" applyFill="1" applyBorder="1"/>
    <xf numFmtId="165" fontId="19" fillId="24" borderId="10" xfId="0" applyNumberFormat="1" applyFont="1" applyFill="1" applyBorder="1" applyAlignment="1">
      <alignment horizontal="center" vertical="center"/>
    </xf>
    <xf numFmtId="165" fontId="20" fillId="24" borderId="10" xfId="0" applyNumberFormat="1" applyFont="1" applyFill="1" applyBorder="1" applyAlignment="1">
      <alignment horizontal="center" vertical="center" wrapText="1"/>
    </xf>
    <xf numFmtId="165" fontId="19" fillId="24" borderId="11" xfId="0" applyNumberFormat="1" applyFont="1" applyFill="1" applyBorder="1" applyAlignment="1">
      <alignment horizontal="center" vertical="center"/>
    </xf>
    <xf numFmtId="165" fontId="19" fillId="24" borderId="11" xfId="0" applyNumberFormat="1" applyFont="1" applyFill="1" applyBorder="1" applyAlignment="1">
      <alignment horizontal="center" vertical="center" wrapText="1"/>
    </xf>
    <xf numFmtId="4" fontId="24" fillId="0" borderId="0" xfId="0" applyNumberFormat="1" applyFont="1" applyFill="1" applyBorder="1"/>
    <xf numFmtId="3" fontId="20" fillId="24" borderId="11" xfId="37" applyNumberFormat="1" applyFont="1" applyFill="1" applyBorder="1" applyAlignment="1">
      <alignment horizontal="center" vertical="center" wrapText="1"/>
    </xf>
    <xf numFmtId="3" fontId="20" fillId="24" borderId="12" xfId="37" applyNumberFormat="1" applyFont="1" applyFill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5" fillId="0" borderId="12" xfId="0" applyFont="1" applyBorder="1" applyAlignment="1"/>
    <xf numFmtId="0" fontId="25" fillId="0" borderId="13" xfId="0" applyFont="1" applyBorder="1" applyAlignment="1"/>
    <xf numFmtId="2" fontId="19" fillId="0" borderId="0" xfId="37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3" fontId="19" fillId="0" borderId="0" xfId="37" applyNumberFormat="1" applyFont="1" applyFill="1" applyBorder="1" applyAlignment="1">
      <alignment horizontal="center"/>
    </xf>
    <xf numFmtId="3" fontId="20" fillId="0" borderId="11" xfId="37" applyNumberFormat="1" applyFont="1" applyFill="1" applyBorder="1" applyAlignment="1">
      <alignment horizontal="center" vertical="center" wrapText="1"/>
    </xf>
    <xf numFmtId="3" fontId="20" fillId="0" borderId="12" xfId="37" applyNumberFormat="1" applyFont="1" applyFill="1" applyBorder="1" applyAlignment="1">
      <alignment horizontal="center" vertical="center" wrapText="1"/>
    </xf>
    <xf numFmtId="0" fontId="0" fillId="0" borderId="12" xfId="0" applyBorder="1" applyAlignment="1"/>
    <xf numFmtId="0" fontId="0" fillId="0" borderId="13" xfId="0" applyBorder="1" applyAlignment="1"/>
  </cellXfs>
  <cellStyles count="45">
    <cellStyle name="20% - Акцент1 2" xfId="2" xr:uid="{00000000-0005-0000-0000-000000000000}"/>
    <cellStyle name="20% - Акцент2 2" xfId="3" xr:uid="{00000000-0005-0000-0000-000001000000}"/>
    <cellStyle name="20% - Акцент3 2" xfId="4" xr:uid="{00000000-0005-0000-0000-000002000000}"/>
    <cellStyle name="20% - Акцент4 2" xfId="5" xr:uid="{00000000-0005-0000-0000-000003000000}"/>
    <cellStyle name="20% - Акцент5 2" xfId="6" xr:uid="{00000000-0005-0000-0000-000004000000}"/>
    <cellStyle name="20% - Акцент6 2" xfId="7" xr:uid="{00000000-0005-0000-0000-000005000000}"/>
    <cellStyle name="40% - Акцент1 2" xfId="8" xr:uid="{00000000-0005-0000-0000-000006000000}"/>
    <cellStyle name="40% - Акцент2 2" xfId="9" xr:uid="{00000000-0005-0000-0000-000007000000}"/>
    <cellStyle name="40% - Акцент3 2" xfId="10" xr:uid="{00000000-0005-0000-0000-000008000000}"/>
    <cellStyle name="40% - Акцент4 2" xfId="11" xr:uid="{00000000-0005-0000-0000-000009000000}"/>
    <cellStyle name="40% - Акцент5 2" xfId="12" xr:uid="{00000000-0005-0000-0000-00000A000000}"/>
    <cellStyle name="40% - Акцент6 2" xfId="13" xr:uid="{00000000-0005-0000-0000-00000B000000}"/>
    <cellStyle name="60% - Акцент1 2" xfId="14" xr:uid="{00000000-0005-0000-0000-00000C000000}"/>
    <cellStyle name="60% - Акцент2 2" xfId="15" xr:uid="{00000000-0005-0000-0000-00000D000000}"/>
    <cellStyle name="60% - Акцент3 2" xfId="16" xr:uid="{00000000-0005-0000-0000-00000E000000}"/>
    <cellStyle name="60% - Акцент4 2" xfId="17" xr:uid="{00000000-0005-0000-0000-00000F000000}"/>
    <cellStyle name="60% - Акцент5 2" xfId="18" xr:uid="{00000000-0005-0000-0000-000010000000}"/>
    <cellStyle name="60% - Акцент6 2" xfId="19" xr:uid="{00000000-0005-0000-0000-000011000000}"/>
    <cellStyle name="Акцент1 2" xfId="20" xr:uid="{00000000-0005-0000-0000-000012000000}"/>
    <cellStyle name="Акцент2 2" xfId="21" xr:uid="{00000000-0005-0000-0000-000013000000}"/>
    <cellStyle name="Акцент3 2" xfId="22" xr:uid="{00000000-0005-0000-0000-000014000000}"/>
    <cellStyle name="Акцент4 2" xfId="23" xr:uid="{00000000-0005-0000-0000-000015000000}"/>
    <cellStyle name="Акцент5 2" xfId="24" xr:uid="{00000000-0005-0000-0000-000016000000}"/>
    <cellStyle name="Акцент6 2" xfId="25" xr:uid="{00000000-0005-0000-0000-000017000000}"/>
    <cellStyle name="Ввод  2" xfId="26" xr:uid="{00000000-0005-0000-0000-000018000000}"/>
    <cellStyle name="Вывод 2" xfId="27" xr:uid="{00000000-0005-0000-0000-000019000000}"/>
    <cellStyle name="Вычисление 2" xfId="28" xr:uid="{00000000-0005-0000-0000-00001A000000}"/>
    <cellStyle name="Заголовок 1 2" xfId="29" xr:uid="{00000000-0005-0000-0000-00001B000000}"/>
    <cellStyle name="Заголовок 2 2" xfId="30" xr:uid="{00000000-0005-0000-0000-00001C000000}"/>
    <cellStyle name="Заголовок 3 2" xfId="31" xr:uid="{00000000-0005-0000-0000-00001D000000}"/>
    <cellStyle name="Заголовок 4 2" xfId="32" xr:uid="{00000000-0005-0000-0000-00001E000000}"/>
    <cellStyle name="Итог 2" xfId="33" xr:uid="{00000000-0005-0000-0000-00001F000000}"/>
    <cellStyle name="Контрольная ячейка 2" xfId="34" xr:uid="{00000000-0005-0000-0000-000020000000}"/>
    <cellStyle name="Название 2" xfId="35" xr:uid="{00000000-0005-0000-0000-000021000000}"/>
    <cellStyle name="Нейтральный 2" xfId="36" xr:uid="{00000000-0005-0000-0000-000022000000}"/>
    <cellStyle name="Обычный" xfId="0" builtinId="0"/>
    <cellStyle name="Обычный 2" xfId="1" xr:uid="{00000000-0005-0000-0000-000024000000}"/>
    <cellStyle name="Обычный_окружные" xfId="37" xr:uid="{00000000-0005-0000-0000-000025000000}"/>
    <cellStyle name="Плохой 2" xfId="38" xr:uid="{00000000-0005-0000-0000-000026000000}"/>
    <cellStyle name="Пояснение 2" xfId="39" xr:uid="{00000000-0005-0000-0000-000027000000}"/>
    <cellStyle name="Примечание 2" xfId="40" xr:uid="{00000000-0005-0000-0000-000028000000}"/>
    <cellStyle name="Связанная ячейка 2" xfId="41" xr:uid="{00000000-0005-0000-0000-000029000000}"/>
    <cellStyle name="Текст предупреждения 2" xfId="42" xr:uid="{00000000-0005-0000-0000-00002A000000}"/>
    <cellStyle name="Финансовый" xfId="44" builtinId="3"/>
    <cellStyle name="Хороший 2" xfId="43" xr:uid="{00000000-0005-0000-0000-00002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N81"/>
  <sheetViews>
    <sheetView tabSelected="1" zoomScale="90" zoomScaleNormal="90" zoomScaleSheetLayoutView="70" workbookViewId="0">
      <pane xSplit="1" ySplit="6" topLeftCell="B59" activePane="bottomRight" state="frozen"/>
      <selection pane="topRight" activeCell="B1" sqref="B1"/>
      <selection pane="bottomLeft" activeCell="A7" sqref="A7"/>
      <selection pane="bottomRight" activeCell="A63" sqref="A63"/>
    </sheetView>
  </sheetViews>
  <sheetFormatPr defaultRowHeight="15.75" x14ac:dyDescent="0.25"/>
  <cols>
    <col min="1" max="1" width="55.7109375" style="7" customWidth="1"/>
    <col min="2" max="2" width="12.28515625" style="7" customWidth="1"/>
    <col min="3" max="3" width="16.140625" style="7" customWidth="1"/>
    <col min="4" max="4" width="18.5703125" style="7" customWidth="1"/>
    <col min="5" max="5" width="17.42578125" style="7" customWidth="1"/>
    <col min="6" max="6" width="21.140625" style="2" customWidth="1"/>
    <col min="7" max="7" width="20.5703125" style="43" customWidth="1"/>
    <col min="8" max="8" width="19" style="4" customWidth="1"/>
    <col min="9" max="9" width="19.85546875" style="43" customWidth="1"/>
    <col min="10" max="10" width="21.140625" style="4" customWidth="1"/>
    <col min="11" max="11" width="19.140625" style="43" customWidth="1"/>
    <col min="12" max="12" width="19.28515625" style="4" customWidth="1"/>
    <col min="13" max="13" width="21.140625" style="43" customWidth="1"/>
    <col min="14" max="14" width="26" style="4" customWidth="1"/>
    <col min="15" max="16384" width="9.140625" style="4"/>
  </cols>
  <sheetData>
    <row r="3" spans="1:14" x14ac:dyDescent="0.25">
      <c r="A3" s="56" t="s">
        <v>75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</row>
    <row r="4" spans="1:14" x14ac:dyDescent="0.25">
      <c r="A4" s="58"/>
      <c r="B4" s="58"/>
      <c r="C4" s="58"/>
      <c r="D4" s="58"/>
      <c r="E4" s="58"/>
      <c r="F4" s="58"/>
    </row>
    <row r="5" spans="1:14" x14ac:dyDescent="0.25">
      <c r="A5" s="8"/>
      <c r="B5" s="8"/>
      <c r="C5" s="8"/>
      <c r="D5" s="8"/>
      <c r="E5" s="8"/>
      <c r="N5" s="27" t="s">
        <v>69</v>
      </c>
    </row>
    <row r="6" spans="1:14" s="3" customFormat="1" ht="121.5" customHeight="1" x14ac:dyDescent="0.25">
      <c r="A6" s="24" t="s">
        <v>0</v>
      </c>
      <c r="B6" s="25" t="s">
        <v>70</v>
      </c>
      <c r="C6" s="23" t="s">
        <v>59</v>
      </c>
      <c r="D6" s="23" t="s">
        <v>60</v>
      </c>
      <c r="E6" s="23" t="s">
        <v>81</v>
      </c>
      <c r="F6" s="26" t="s">
        <v>61</v>
      </c>
      <c r="G6" s="23" t="s">
        <v>62</v>
      </c>
      <c r="H6" s="23" t="s">
        <v>63</v>
      </c>
      <c r="I6" s="23" t="s">
        <v>64</v>
      </c>
      <c r="J6" s="23" t="s">
        <v>65</v>
      </c>
      <c r="K6" s="23" t="s">
        <v>66</v>
      </c>
      <c r="L6" s="23" t="s">
        <v>67</v>
      </c>
      <c r="M6" s="23" t="s">
        <v>68</v>
      </c>
      <c r="N6" s="23" t="s">
        <v>76</v>
      </c>
    </row>
    <row r="7" spans="1:14" s="2" customFormat="1" x14ac:dyDescent="0.25">
      <c r="A7" s="11">
        <v>1</v>
      </c>
      <c r="B7" s="11">
        <v>2</v>
      </c>
      <c r="C7" s="11">
        <v>3</v>
      </c>
      <c r="D7" s="11">
        <v>4</v>
      </c>
      <c r="E7" s="11">
        <v>5</v>
      </c>
      <c r="F7" s="1">
        <v>6</v>
      </c>
      <c r="G7" s="1">
        <v>7</v>
      </c>
      <c r="H7" s="1">
        <v>8</v>
      </c>
      <c r="I7" s="1">
        <v>9</v>
      </c>
      <c r="J7" s="1">
        <v>10</v>
      </c>
      <c r="K7" s="1">
        <v>11</v>
      </c>
      <c r="L7" s="1">
        <v>12</v>
      </c>
      <c r="M7" s="1">
        <v>13</v>
      </c>
      <c r="N7" s="1">
        <v>14</v>
      </c>
    </row>
    <row r="8" spans="1:14" x14ac:dyDescent="0.25">
      <c r="A8" s="59" t="s">
        <v>1</v>
      </c>
      <c r="B8" s="60"/>
      <c r="C8" s="60"/>
      <c r="D8" s="60"/>
      <c r="E8" s="60"/>
      <c r="F8" s="60"/>
      <c r="G8" s="61"/>
      <c r="H8" s="61"/>
      <c r="I8" s="61"/>
      <c r="J8" s="61"/>
      <c r="K8" s="61"/>
      <c r="L8" s="61"/>
      <c r="M8" s="61"/>
      <c r="N8" s="62"/>
    </row>
    <row r="9" spans="1:14" s="16" customFormat="1" ht="110.25" x14ac:dyDescent="0.25">
      <c r="A9" s="15" t="s">
        <v>2</v>
      </c>
      <c r="B9" s="32">
        <v>0</v>
      </c>
      <c r="C9" s="32">
        <v>0</v>
      </c>
      <c r="D9" s="32">
        <v>0</v>
      </c>
      <c r="E9" s="32">
        <v>0</v>
      </c>
      <c r="F9" s="28">
        <v>279897800</v>
      </c>
      <c r="G9" s="28">
        <f>269211300-11773800</f>
        <v>257437500</v>
      </c>
      <c r="H9" s="29">
        <f>G9-F9</f>
        <v>-22460300</v>
      </c>
      <c r="I9" s="28">
        <v>269211300</v>
      </c>
      <c r="J9" s="29">
        <f>I9-G9</f>
        <v>11773800</v>
      </c>
      <c r="K9" s="29">
        <v>172252465.99000001</v>
      </c>
      <c r="L9" s="29">
        <f>K9-I9</f>
        <v>-96958834.00999999</v>
      </c>
      <c r="M9" s="29">
        <v>172252465.99000001</v>
      </c>
      <c r="N9" s="29">
        <f>B9+C9-D9+E9+K9-M9</f>
        <v>0</v>
      </c>
    </row>
    <row r="10" spans="1:14" s="16" customFormat="1" ht="115.5" customHeight="1" x14ac:dyDescent="0.25">
      <c r="A10" s="15" t="s">
        <v>30</v>
      </c>
      <c r="B10" s="32">
        <v>0</v>
      </c>
      <c r="C10" s="32">
        <v>0</v>
      </c>
      <c r="D10" s="32">
        <v>0</v>
      </c>
      <c r="E10" s="32">
        <v>0</v>
      </c>
      <c r="F10" s="28">
        <v>4371810800</v>
      </c>
      <c r="G10" s="28">
        <f>4261991700-9812500+119631600</f>
        <v>4371810800</v>
      </c>
      <c r="H10" s="29">
        <f t="shared" ref="H10:H25" si="0">G10-F10</f>
        <v>0</v>
      </c>
      <c r="I10" s="28">
        <v>4261991700</v>
      </c>
      <c r="J10" s="29">
        <f t="shared" ref="J10:J25" si="1">I10-G10</f>
        <v>-109819100</v>
      </c>
      <c r="K10" s="29">
        <v>2874220804.73</v>
      </c>
      <c r="L10" s="29">
        <f t="shared" ref="L10:L25" si="2">K10-I10</f>
        <v>-1387770895.27</v>
      </c>
      <c r="M10" s="29">
        <v>2874220804.73</v>
      </c>
      <c r="N10" s="29">
        <f t="shared" ref="N10:N25" si="3">B10+C10-D10+E10+K10-M10</f>
        <v>0</v>
      </c>
    </row>
    <row r="11" spans="1:14" s="17" customFormat="1" ht="78.75" x14ac:dyDescent="0.25">
      <c r="A11" s="15" t="s">
        <v>21</v>
      </c>
      <c r="B11" s="32">
        <v>0</v>
      </c>
      <c r="C11" s="32">
        <v>0</v>
      </c>
      <c r="D11" s="32">
        <v>0</v>
      </c>
      <c r="E11" s="32">
        <v>0</v>
      </c>
      <c r="F11" s="28">
        <v>13659500</v>
      </c>
      <c r="G11" s="28">
        <f>13770000-110500</f>
        <v>13659500</v>
      </c>
      <c r="H11" s="29">
        <f t="shared" si="0"/>
        <v>0</v>
      </c>
      <c r="I11" s="28">
        <v>13770000</v>
      </c>
      <c r="J11" s="29">
        <f t="shared" si="1"/>
        <v>110500</v>
      </c>
      <c r="K11" s="29">
        <v>9031498.2599999998</v>
      </c>
      <c r="L11" s="29">
        <f t="shared" si="2"/>
        <v>-4738501.74</v>
      </c>
      <c r="M11" s="29">
        <v>9031498.2599999998</v>
      </c>
      <c r="N11" s="29">
        <f t="shared" si="3"/>
        <v>0</v>
      </c>
    </row>
    <row r="12" spans="1:14" s="17" customFormat="1" ht="63" x14ac:dyDescent="0.25">
      <c r="A12" s="15" t="s">
        <v>26</v>
      </c>
      <c r="B12" s="32">
        <v>0</v>
      </c>
      <c r="C12" s="32">
        <v>0</v>
      </c>
      <c r="D12" s="32">
        <v>0</v>
      </c>
      <c r="E12" s="32">
        <v>0</v>
      </c>
      <c r="F12" s="28">
        <v>13307000</v>
      </c>
      <c r="G12" s="28">
        <f>9581800+3845000-119800</f>
        <v>13307000</v>
      </c>
      <c r="H12" s="29">
        <f t="shared" si="0"/>
        <v>0</v>
      </c>
      <c r="I12" s="28">
        <f>9581800+3845000</f>
        <v>13426800</v>
      </c>
      <c r="J12" s="29">
        <f t="shared" si="1"/>
        <v>119800</v>
      </c>
      <c r="K12" s="29">
        <f>6280100.61+2748578.14</f>
        <v>9028678.75</v>
      </c>
      <c r="L12" s="29">
        <f t="shared" si="2"/>
        <v>-4398121.25</v>
      </c>
      <c r="M12" s="29">
        <f>6280100.61+2748578.14</f>
        <v>9028678.75</v>
      </c>
      <c r="N12" s="29">
        <f t="shared" si="3"/>
        <v>0</v>
      </c>
    </row>
    <row r="13" spans="1:14" s="17" customFormat="1" ht="157.5" x14ac:dyDescent="0.25">
      <c r="A13" s="15" t="s">
        <v>27</v>
      </c>
      <c r="B13" s="32">
        <v>0</v>
      </c>
      <c r="C13" s="32">
        <v>0</v>
      </c>
      <c r="D13" s="32">
        <v>0</v>
      </c>
      <c r="E13" s="32">
        <v>0</v>
      </c>
      <c r="F13" s="28">
        <v>6285600</v>
      </c>
      <c r="G13" s="28">
        <f>6341500-55900</f>
        <v>6285600</v>
      </c>
      <c r="H13" s="29">
        <f t="shared" si="0"/>
        <v>0</v>
      </c>
      <c r="I13" s="28">
        <v>6341500</v>
      </c>
      <c r="J13" s="29">
        <f t="shared" si="1"/>
        <v>55900</v>
      </c>
      <c r="K13" s="29">
        <v>4010024.59</v>
      </c>
      <c r="L13" s="29">
        <f t="shared" si="2"/>
        <v>-2331475.41</v>
      </c>
      <c r="M13" s="29">
        <v>4005757.13</v>
      </c>
      <c r="N13" s="29">
        <f t="shared" si="3"/>
        <v>4267.4599999999627</v>
      </c>
    </row>
    <row r="14" spans="1:14" s="17" customFormat="1" ht="110.25" x14ac:dyDescent="0.25">
      <c r="A14" s="15" t="s">
        <v>40</v>
      </c>
      <c r="B14" s="32">
        <v>0</v>
      </c>
      <c r="C14" s="32">
        <v>0</v>
      </c>
      <c r="D14" s="32">
        <v>0</v>
      </c>
      <c r="E14" s="32">
        <v>0</v>
      </c>
      <c r="F14" s="28">
        <v>70880000</v>
      </c>
      <c r="G14" s="28">
        <f>70700600+179400</f>
        <v>70880000</v>
      </c>
      <c r="H14" s="29">
        <f t="shared" si="0"/>
        <v>0</v>
      </c>
      <c r="I14" s="28">
        <v>70700600</v>
      </c>
      <c r="J14" s="29">
        <f t="shared" si="1"/>
        <v>-179400</v>
      </c>
      <c r="K14" s="29">
        <v>52352697.869999997</v>
      </c>
      <c r="L14" s="29">
        <f t="shared" si="2"/>
        <v>-18347902.130000003</v>
      </c>
      <c r="M14" s="29">
        <v>52352054.100000001</v>
      </c>
      <c r="N14" s="29">
        <f t="shared" si="3"/>
        <v>643.76999999582767</v>
      </c>
    </row>
    <row r="15" spans="1:14" s="17" customFormat="1" ht="78.75" x14ac:dyDescent="0.25">
      <c r="A15" s="15" t="s">
        <v>82</v>
      </c>
      <c r="B15" s="32">
        <v>0</v>
      </c>
      <c r="C15" s="32">
        <v>0</v>
      </c>
      <c r="D15" s="32">
        <v>0</v>
      </c>
      <c r="E15" s="32">
        <v>0</v>
      </c>
      <c r="F15" s="28">
        <v>886500</v>
      </c>
      <c r="G15" s="28">
        <v>886500</v>
      </c>
      <c r="H15" s="29">
        <f t="shared" si="0"/>
        <v>0</v>
      </c>
      <c r="I15" s="28">
        <v>886500</v>
      </c>
      <c r="J15" s="29">
        <f t="shared" si="1"/>
        <v>0</v>
      </c>
      <c r="K15" s="29">
        <v>882500</v>
      </c>
      <c r="L15" s="29">
        <f t="shared" si="2"/>
        <v>-4000</v>
      </c>
      <c r="M15" s="29">
        <v>882500</v>
      </c>
      <c r="N15" s="29">
        <f t="shared" si="3"/>
        <v>0</v>
      </c>
    </row>
    <row r="16" spans="1:14" s="17" customFormat="1" ht="31.5" x14ac:dyDescent="0.25">
      <c r="A16" s="15" t="s">
        <v>5</v>
      </c>
      <c r="B16" s="32">
        <v>0</v>
      </c>
      <c r="C16" s="32">
        <v>0</v>
      </c>
      <c r="D16" s="32">
        <v>0</v>
      </c>
      <c r="E16" s="32">
        <v>0</v>
      </c>
      <c r="F16" s="28">
        <v>56801100</v>
      </c>
      <c r="G16" s="28">
        <v>56801100</v>
      </c>
      <c r="H16" s="29">
        <f t="shared" si="0"/>
        <v>0</v>
      </c>
      <c r="I16" s="28">
        <v>56801100</v>
      </c>
      <c r="J16" s="29">
        <f t="shared" si="1"/>
        <v>0</v>
      </c>
      <c r="K16" s="29">
        <v>50641074.399999999</v>
      </c>
      <c r="L16" s="29">
        <f t="shared" si="2"/>
        <v>-6160025.6000000015</v>
      </c>
      <c r="M16" s="29">
        <v>50641074.399999999</v>
      </c>
      <c r="N16" s="29">
        <f t="shared" si="3"/>
        <v>0</v>
      </c>
    </row>
    <row r="17" spans="1:14" s="17" customFormat="1" ht="63" x14ac:dyDescent="0.25">
      <c r="A17" s="15" t="s">
        <v>4</v>
      </c>
      <c r="B17" s="32">
        <v>0</v>
      </c>
      <c r="C17" s="32">
        <v>0</v>
      </c>
      <c r="D17" s="32">
        <v>0</v>
      </c>
      <c r="E17" s="32">
        <v>0</v>
      </c>
      <c r="F17" s="28">
        <v>4678700</v>
      </c>
      <c r="G17" s="28">
        <f>4615800-43500+106400</f>
        <v>4678700</v>
      </c>
      <c r="H17" s="29">
        <f t="shared" si="0"/>
        <v>0</v>
      </c>
      <c r="I17" s="28">
        <v>4615800</v>
      </c>
      <c r="J17" s="29">
        <f t="shared" si="1"/>
        <v>-62900</v>
      </c>
      <c r="K17" s="29">
        <v>2663556.37</v>
      </c>
      <c r="L17" s="29">
        <f t="shared" si="2"/>
        <v>-1952243.63</v>
      </c>
      <c r="M17" s="29">
        <v>2663556.37</v>
      </c>
      <c r="N17" s="29">
        <f t="shared" si="3"/>
        <v>0</v>
      </c>
    </row>
    <row r="18" spans="1:14" s="17" customFormat="1" ht="47.25" x14ac:dyDescent="0.25">
      <c r="A18" s="15" t="s">
        <v>39</v>
      </c>
      <c r="B18" s="32">
        <v>0</v>
      </c>
      <c r="C18" s="32">
        <v>31093.88</v>
      </c>
      <c r="D18" s="32">
        <v>31093.88</v>
      </c>
      <c r="E18" s="32">
        <v>0</v>
      </c>
      <c r="F18" s="28">
        <v>20381900</v>
      </c>
      <c r="G18" s="28">
        <f>20178600+203800-500</f>
        <v>20381900</v>
      </c>
      <c r="H18" s="29">
        <f t="shared" si="0"/>
        <v>0</v>
      </c>
      <c r="I18" s="28">
        <f>20178600+203800</f>
        <v>20382400</v>
      </c>
      <c r="J18" s="29">
        <f t="shared" si="1"/>
        <v>500</v>
      </c>
      <c r="K18" s="29">
        <v>0</v>
      </c>
      <c r="L18" s="29">
        <f t="shared" si="2"/>
        <v>-20382400</v>
      </c>
      <c r="M18" s="29">
        <v>0</v>
      </c>
      <c r="N18" s="29">
        <f t="shared" si="3"/>
        <v>0</v>
      </c>
    </row>
    <row r="19" spans="1:14" s="17" customFormat="1" ht="126" x14ac:dyDescent="0.25">
      <c r="A19" s="15" t="s">
        <v>6</v>
      </c>
      <c r="B19" s="32">
        <v>0</v>
      </c>
      <c r="C19" s="32">
        <v>0</v>
      </c>
      <c r="D19" s="32">
        <v>0</v>
      </c>
      <c r="E19" s="32">
        <v>0</v>
      </c>
      <c r="F19" s="28">
        <v>12900</v>
      </c>
      <c r="G19" s="28">
        <v>12900</v>
      </c>
      <c r="H19" s="29">
        <f t="shared" si="0"/>
        <v>0</v>
      </c>
      <c r="I19" s="28">
        <v>12900</v>
      </c>
      <c r="J19" s="29">
        <f t="shared" si="1"/>
        <v>0</v>
      </c>
      <c r="K19" s="29">
        <v>12814</v>
      </c>
      <c r="L19" s="29">
        <f t="shared" si="2"/>
        <v>-86</v>
      </c>
      <c r="M19" s="29">
        <v>12814</v>
      </c>
      <c r="N19" s="29">
        <f t="shared" si="3"/>
        <v>0</v>
      </c>
    </row>
    <row r="20" spans="1:14" s="17" customFormat="1" ht="63" x14ac:dyDescent="0.25">
      <c r="A20" s="15" t="s">
        <v>7</v>
      </c>
      <c r="B20" s="32">
        <v>0</v>
      </c>
      <c r="C20" s="32">
        <v>0</v>
      </c>
      <c r="D20" s="32">
        <v>0</v>
      </c>
      <c r="E20" s="32">
        <v>0</v>
      </c>
      <c r="F20" s="28">
        <v>7566800</v>
      </c>
      <c r="G20" s="28">
        <v>7566800</v>
      </c>
      <c r="H20" s="29">
        <f t="shared" si="0"/>
        <v>0</v>
      </c>
      <c r="I20" s="28">
        <v>7566800</v>
      </c>
      <c r="J20" s="29">
        <f t="shared" si="1"/>
        <v>0</v>
      </c>
      <c r="K20" s="29">
        <v>1345867.27</v>
      </c>
      <c r="L20" s="29">
        <f t="shared" si="2"/>
        <v>-6220932.7300000004</v>
      </c>
      <c r="M20" s="29">
        <v>1345867.27</v>
      </c>
      <c r="N20" s="29">
        <f t="shared" si="3"/>
        <v>0</v>
      </c>
    </row>
    <row r="21" spans="1:14" s="17" customFormat="1" ht="47.25" x14ac:dyDescent="0.25">
      <c r="A21" s="15" t="s">
        <v>25</v>
      </c>
      <c r="B21" s="32">
        <v>0</v>
      </c>
      <c r="C21" s="32">
        <v>0</v>
      </c>
      <c r="D21" s="32">
        <v>0</v>
      </c>
      <c r="E21" s="32">
        <v>0</v>
      </c>
      <c r="F21" s="28">
        <v>634700</v>
      </c>
      <c r="G21" s="28">
        <f>4645800-600</f>
        <v>4645200</v>
      </c>
      <c r="H21" s="29">
        <f t="shared" si="0"/>
        <v>4010500</v>
      </c>
      <c r="I21" s="28">
        <v>4645800</v>
      </c>
      <c r="J21" s="29">
        <f t="shared" si="1"/>
        <v>600</v>
      </c>
      <c r="K21" s="29">
        <v>633900</v>
      </c>
      <c r="L21" s="29">
        <f t="shared" si="2"/>
        <v>-4011900</v>
      </c>
      <c r="M21" s="29">
        <v>633900</v>
      </c>
      <c r="N21" s="29">
        <f t="shared" si="3"/>
        <v>0</v>
      </c>
    </row>
    <row r="22" spans="1:14" s="17" customFormat="1" ht="63" x14ac:dyDescent="0.25">
      <c r="A22" s="15" t="s">
        <v>83</v>
      </c>
      <c r="B22" s="32">
        <v>0</v>
      </c>
      <c r="C22" s="32">
        <v>0</v>
      </c>
      <c r="D22" s="32">
        <v>0</v>
      </c>
      <c r="E22" s="32">
        <v>0</v>
      </c>
      <c r="F22" s="28">
        <v>206700</v>
      </c>
      <c r="G22" s="28">
        <f>208000-1300</f>
        <v>206700</v>
      </c>
      <c r="H22" s="29">
        <f t="shared" si="0"/>
        <v>0</v>
      </c>
      <c r="I22" s="28">
        <v>208000</v>
      </c>
      <c r="J22" s="29">
        <f t="shared" si="1"/>
        <v>1300</v>
      </c>
      <c r="K22" s="29">
        <v>59500</v>
      </c>
      <c r="L22" s="29">
        <f t="shared" si="2"/>
        <v>-148500</v>
      </c>
      <c r="M22" s="29">
        <v>59500</v>
      </c>
      <c r="N22" s="29">
        <f t="shared" si="3"/>
        <v>0</v>
      </c>
    </row>
    <row r="23" spans="1:14" s="17" customFormat="1" ht="63" x14ac:dyDescent="0.25">
      <c r="A23" s="15" t="s">
        <v>42</v>
      </c>
      <c r="B23" s="32">
        <v>0</v>
      </c>
      <c r="C23" s="32">
        <v>0</v>
      </c>
      <c r="D23" s="32">
        <v>0</v>
      </c>
      <c r="E23" s="32">
        <v>0</v>
      </c>
      <c r="F23" s="28">
        <v>2200000</v>
      </c>
      <c r="G23" s="28">
        <v>2200000</v>
      </c>
      <c r="H23" s="29">
        <f t="shared" si="0"/>
        <v>0</v>
      </c>
      <c r="I23" s="28">
        <v>2200000</v>
      </c>
      <c r="J23" s="29">
        <f t="shared" si="1"/>
        <v>0</v>
      </c>
      <c r="K23" s="29">
        <v>2073708</v>
      </c>
      <c r="L23" s="29">
        <f t="shared" si="2"/>
        <v>-126292</v>
      </c>
      <c r="M23" s="29">
        <v>2073708</v>
      </c>
      <c r="N23" s="29">
        <f t="shared" si="3"/>
        <v>0</v>
      </c>
    </row>
    <row r="24" spans="1:14" s="17" customFormat="1" ht="78.75" x14ac:dyDescent="0.25">
      <c r="A24" s="15" t="s">
        <v>43</v>
      </c>
      <c r="B24" s="32">
        <v>0</v>
      </c>
      <c r="C24" s="32">
        <v>0</v>
      </c>
      <c r="D24" s="32">
        <v>0</v>
      </c>
      <c r="E24" s="32">
        <v>0</v>
      </c>
      <c r="F24" s="28">
        <v>2200000</v>
      </c>
      <c r="G24" s="28">
        <v>2200000</v>
      </c>
      <c r="H24" s="29">
        <f t="shared" si="0"/>
        <v>0</v>
      </c>
      <c r="I24" s="28">
        <v>2200000</v>
      </c>
      <c r="J24" s="29">
        <f t="shared" si="1"/>
        <v>0</v>
      </c>
      <c r="K24" s="29">
        <v>0</v>
      </c>
      <c r="L24" s="29">
        <f t="shared" si="2"/>
        <v>-2200000</v>
      </c>
      <c r="M24" s="29">
        <v>0</v>
      </c>
      <c r="N24" s="29">
        <f t="shared" si="3"/>
        <v>0</v>
      </c>
    </row>
    <row r="25" spans="1:14" s="17" customFormat="1" ht="63" x14ac:dyDescent="0.25">
      <c r="A25" s="15" t="s">
        <v>41</v>
      </c>
      <c r="B25" s="32">
        <v>0</v>
      </c>
      <c r="C25" s="32">
        <v>0</v>
      </c>
      <c r="D25" s="32">
        <v>0</v>
      </c>
      <c r="E25" s="32">
        <v>0</v>
      </c>
      <c r="F25" s="30">
        <v>8400</v>
      </c>
      <c r="G25" s="30">
        <v>8400</v>
      </c>
      <c r="H25" s="29">
        <f t="shared" si="0"/>
        <v>0</v>
      </c>
      <c r="I25" s="30">
        <v>8400</v>
      </c>
      <c r="J25" s="29">
        <f t="shared" si="1"/>
        <v>0</v>
      </c>
      <c r="K25" s="29">
        <v>2967.09</v>
      </c>
      <c r="L25" s="29">
        <f t="shared" si="2"/>
        <v>-5432.91</v>
      </c>
      <c r="M25" s="29">
        <v>2967.09</v>
      </c>
      <c r="N25" s="29">
        <f t="shared" si="3"/>
        <v>0</v>
      </c>
    </row>
    <row r="26" spans="1:14" s="19" customFormat="1" x14ac:dyDescent="0.25">
      <c r="A26" s="18" t="s">
        <v>8</v>
      </c>
      <c r="B26" s="31">
        <f t="shared" ref="B26:E26" si="4">SUM(B9:B25)</f>
        <v>0</v>
      </c>
      <c r="C26" s="31">
        <f t="shared" si="4"/>
        <v>31093.88</v>
      </c>
      <c r="D26" s="31">
        <f t="shared" si="4"/>
        <v>31093.88</v>
      </c>
      <c r="E26" s="31">
        <f t="shared" si="4"/>
        <v>0</v>
      </c>
      <c r="F26" s="31">
        <f>SUM(F9:F25)</f>
        <v>4851418400</v>
      </c>
      <c r="G26" s="31">
        <f>SUM(G9:G25)</f>
        <v>4832968600</v>
      </c>
      <c r="H26" s="31">
        <f t="shared" ref="H26:N26" si="5">SUM(H9:H25)</f>
        <v>-18449800</v>
      </c>
      <c r="I26" s="31">
        <f t="shared" si="5"/>
        <v>4734969600</v>
      </c>
      <c r="J26" s="31">
        <f t="shared" si="5"/>
        <v>-97999000</v>
      </c>
      <c r="K26" s="31">
        <f t="shared" si="5"/>
        <v>3179212057.3200006</v>
      </c>
      <c r="L26" s="31">
        <f t="shared" si="5"/>
        <v>-1555757542.6800003</v>
      </c>
      <c r="M26" s="31">
        <f t="shared" si="5"/>
        <v>3179207146.0900006</v>
      </c>
      <c r="N26" s="31">
        <f t="shared" si="5"/>
        <v>4911.2299999957904</v>
      </c>
    </row>
    <row r="27" spans="1:14" s="17" customFormat="1" x14ac:dyDescent="0.25">
      <c r="A27" s="50" t="s">
        <v>12</v>
      </c>
      <c r="B27" s="51"/>
      <c r="C27" s="51"/>
      <c r="D27" s="51"/>
      <c r="E27" s="51"/>
      <c r="F27" s="51"/>
      <c r="G27" s="61"/>
      <c r="H27" s="61"/>
      <c r="I27" s="61"/>
      <c r="J27" s="61"/>
      <c r="K27" s="61"/>
      <c r="L27" s="61"/>
      <c r="M27" s="61"/>
      <c r="N27" s="62"/>
    </row>
    <row r="28" spans="1:14" s="17" customFormat="1" ht="31.5" x14ac:dyDescent="0.25">
      <c r="A28" s="15" t="s">
        <v>24</v>
      </c>
      <c r="B28" s="32">
        <v>0</v>
      </c>
      <c r="C28" s="32">
        <v>0</v>
      </c>
      <c r="D28" s="32">
        <v>0</v>
      </c>
      <c r="E28" s="32">
        <v>0</v>
      </c>
      <c r="F28" s="30">
        <v>314204700</v>
      </c>
      <c r="G28" s="30">
        <f>314204700+24752700-24752700</f>
        <v>314204700</v>
      </c>
      <c r="H28" s="29">
        <f t="shared" ref="H28:H64" si="6">G28-F28</f>
        <v>0</v>
      </c>
      <c r="I28" s="30">
        <f>314204700+24752700</f>
        <v>338957400</v>
      </c>
      <c r="J28" s="29">
        <f t="shared" ref="J28:J65" si="7">I28-G28</f>
        <v>24752700</v>
      </c>
      <c r="K28" s="29">
        <v>304406218.75999999</v>
      </c>
      <c r="L28" s="29">
        <f t="shared" ref="L28:L65" si="8">K28-I28</f>
        <v>-34551181.24000001</v>
      </c>
      <c r="M28" s="29">
        <v>304406218.75999999</v>
      </c>
      <c r="N28" s="29">
        <f t="shared" ref="N28:N65" si="9">B28+C28-D28+E28+K28-M28</f>
        <v>0</v>
      </c>
    </row>
    <row r="29" spans="1:14" s="20" customFormat="1" ht="126" x14ac:dyDescent="0.25">
      <c r="A29" s="15" t="s">
        <v>9</v>
      </c>
      <c r="B29" s="32">
        <v>0</v>
      </c>
      <c r="C29" s="32">
        <v>0</v>
      </c>
      <c r="D29" s="32">
        <v>0</v>
      </c>
      <c r="E29" s="32">
        <v>0</v>
      </c>
      <c r="F29" s="30">
        <v>60480000</v>
      </c>
      <c r="G29" s="30">
        <f>28320000+32160000</f>
        <v>60480000</v>
      </c>
      <c r="H29" s="29">
        <f t="shared" si="6"/>
        <v>0</v>
      </c>
      <c r="I29" s="30">
        <v>28320000</v>
      </c>
      <c r="J29" s="29">
        <f t="shared" si="7"/>
        <v>-32160000</v>
      </c>
      <c r="K29" s="29">
        <v>21292000</v>
      </c>
      <c r="L29" s="29">
        <f t="shared" si="8"/>
        <v>-7028000</v>
      </c>
      <c r="M29" s="29">
        <v>21292000</v>
      </c>
      <c r="N29" s="29">
        <f t="shared" si="9"/>
        <v>0</v>
      </c>
    </row>
    <row r="30" spans="1:14" s="20" customFormat="1" ht="31.5" x14ac:dyDescent="0.25">
      <c r="A30" s="15" t="s">
        <v>32</v>
      </c>
      <c r="B30" s="32">
        <v>0</v>
      </c>
      <c r="C30" s="32">
        <v>0</v>
      </c>
      <c r="D30" s="32">
        <v>0</v>
      </c>
      <c r="E30" s="32">
        <v>0</v>
      </c>
      <c r="F30" s="30">
        <v>41940500</v>
      </c>
      <c r="G30" s="30">
        <v>41940500</v>
      </c>
      <c r="H30" s="29">
        <f t="shared" si="6"/>
        <v>0</v>
      </c>
      <c r="I30" s="30">
        <v>41940500</v>
      </c>
      <c r="J30" s="29">
        <f t="shared" si="7"/>
        <v>0</v>
      </c>
      <c r="K30" s="29">
        <v>41940500</v>
      </c>
      <c r="L30" s="29">
        <f t="shared" si="8"/>
        <v>0</v>
      </c>
      <c r="M30" s="29">
        <v>41940500</v>
      </c>
      <c r="N30" s="29">
        <f t="shared" si="9"/>
        <v>0</v>
      </c>
    </row>
    <row r="31" spans="1:14" s="17" customFormat="1" ht="72.75" customHeight="1" x14ac:dyDescent="0.25">
      <c r="A31" s="15" t="s">
        <v>36</v>
      </c>
      <c r="B31" s="32">
        <v>0</v>
      </c>
      <c r="C31" s="32">
        <v>0</v>
      </c>
      <c r="D31" s="32">
        <v>0</v>
      </c>
      <c r="E31" s="32">
        <v>0</v>
      </c>
      <c r="F31" s="30">
        <v>4096200</v>
      </c>
      <c r="G31" s="30">
        <f>1597600+2498600</f>
        <v>4096200</v>
      </c>
      <c r="H31" s="29">
        <f t="shared" si="6"/>
        <v>0</v>
      </c>
      <c r="I31" s="30">
        <f>1597600+2498600</f>
        <v>4096200</v>
      </c>
      <c r="J31" s="29">
        <f t="shared" si="7"/>
        <v>0</v>
      </c>
      <c r="K31" s="29">
        <f>1683198.53+1076141.56</f>
        <v>2759340.09</v>
      </c>
      <c r="L31" s="29">
        <f t="shared" si="8"/>
        <v>-1336859.9100000001</v>
      </c>
      <c r="M31" s="29">
        <f>1683198.53+1076141.56</f>
        <v>2759340.09</v>
      </c>
      <c r="N31" s="29">
        <f t="shared" si="9"/>
        <v>0</v>
      </c>
    </row>
    <row r="32" spans="1:14" s="17" customFormat="1" ht="94.5" x14ac:dyDescent="0.25">
      <c r="A32" s="15" t="s">
        <v>20</v>
      </c>
      <c r="B32" s="32">
        <v>0</v>
      </c>
      <c r="C32" s="32">
        <v>0</v>
      </c>
      <c r="D32" s="32">
        <v>0</v>
      </c>
      <c r="E32" s="32">
        <v>0</v>
      </c>
      <c r="F32" s="30">
        <v>23277900</v>
      </c>
      <c r="G32" s="30">
        <v>23277900</v>
      </c>
      <c r="H32" s="29">
        <f t="shared" si="6"/>
        <v>0</v>
      </c>
      <c r="I32" s="30">
        <v>23277900</v>
      </c>
      <c r="J32" s="29">
        <f t="shared" si="7"/>
        <v>0</v>
      </c>
      <c r="K32" s="29">
        <v>18180044.75</v>
      </c>
      <c r="L32" s="29">
        <f t="shared" si="8"/>
        <v>-5097855.25</v>
      </c>
      <c r="M32" s="29">
        <v>18180044.75</v>
      </c>
      <c r="N32" s="29">
        <f t="shared" si="9"/>
        <v>0</v>
      </c>
    </row>
    <row r="33" spans="1:14" s="17" customFormat="1" ht="47.25" x14ac:dyDescent="0.25">
      <c r="A33" s="15" t="s">
        <v>22</v>
      </c>
      <c r="B33" s="32">
        <v>0</v>
      </c>
      <c r="C33" s="32">
        <v>0</v>
      </c>
      <c r="D33" s="32">
        <v>0</v>
      </c>
      <c r="E33" s="32">
        <v>0</v>
      </c>
      <c r="F33" s="30">
        <v>843000</v>
      </c>
      <c r="G33" s="30">
        <v>843000</v>
      </c>
      <c r="H33" s="29">
        <f t="shared" si="6"/>
        <v>0</v>
      </c>
      <c r="I33" s="30">
        <v>843000</v>
      </c>
      <c r="J33" s="29">
        <f t="shared" si="7"/>
        <v>0</v>
      </c>
      <c r="K33" s="29">
        <v>810005.46</v>
      </c>
      <c r="L33" s="29">
        <f t="shared" si="8"/>
        <v>-32994.540000000037</v>
      </c>
      <c r="M33" s="29">
        <v>810005.46</v>
      </c>
      <c r="N33" s="29">
        <f t="shared" si="9"/>
        <v>0</v>
      </c>
    </row>
    <row r="34" spans="1:14" s="17" customFormat="1" ht="31.5" x14ac:dyDescent="0.25">
      <c r="A34" s="15" t="s">
        <v>23</v>
      </c>
      <c r="B34" s="32">
        <v>0</v>
      </c>
      <c r="C34" s="32">
        <v>0</v>
      </c>
      <c r="D34" s="32">
        <v>0</v>
      </c>
      <c r="E34" s="32">
        <v>0</v>
      </c>
      <c r="F34" s="30">
        <v>1317459700</v>
      </c>
      <c r="G34" s="30">
        <v>1616478600</v>
      </c>
      <c r="H34" s="29">
        <f t="shared" si="6"/>
        <v>299018900</v>
      </c>
      <c r="I34" s="30">
        <v>1616478600</v>
      </c>
      <c r="J34" s="29">
        <f t="shared" si="7"/>
        <v>0</v>
      </c>
      <c r="K34" s="29">
        <v>542232673.57000005</v>
      </c>
      <c r="L34" s="29">
        <f t="shared" si="8"/>
        <v>-1074245926.4299998</v>
      </c>
      <c r="M34" s="29">
        <v>542232673.57000005</v>
      </c>
      <c r="N34" s="29">
        <f t="shared" si="9"/>
        <v>0</v>
      </c>
    </row>
    <row r="35" spans="1:14" s="17" customFormat="1" ht="63" x14ac:dyDescent="0.25">
      <c r="A35" s="15" t="s">
        <v>44</v>
      </c>
      <c r="B35" s="32">
        <v>0</v>
      </c>
      <c r="C35" s="32">
        <v>0</v>
      </c>
      <c r="D35" s="32">
        <v>0</v>
      </c>
      <c r="E35" s="32">
        <v>0</v>
      </c>
      <c r="F35" s="30">
        <v>434100</v>
      </c>
      <c r="G35" s="30">
        <f>243094.91+191005.09</f>
        <v>434100</v>
      </c>
      <c r="H35" s="29">
        <f t="shared" si="6"/>
        <v>0</v>
      </c>
      <c r="I35" s="30">
        <f>243094.91+191005.09</f>
        <v>434100</v>
      </c>
      <c r="J35" s="29">
        <f t="shared" si="7"/>
        <v>0</v>
      </c>
      <c r="K35" s="29">
        <f>243094.91+191005.09</f>
        <v>434100</v>
      </c>
      <c r="L35" s="29">
        <f t="shared" si="8"/>
        <v>0</v>
      </c>
      <c r="M35" s="29">
        <f>243094.91+191005.09</f>
        <v>434100</v>
      </c>
      <c r="N35" s="29">
        <f t="shared" si="9"/>
        <v>0</v>
      </c>
    </row>
    <row r="36" spans="1:14" s="17" customFormat="1" ht="47.25" x14ac:dyDescent="0.25">
      <c r="A36" s="15" t="s">
        <v>45</v>
      </c>
      <c r="B36" s="32">
        <v>0</v>
      </c>
      <c r="C36" s="32">
        <v>0</v>
      </c>
      <c r="D36" s="32">
        <v>0</v>
      </c>
      <c r="E36" s="32">
        <v>0</v>
      </c>
      <c r="F36" s="30">
        <v>6897200</v>
      </c>
      <c r="G36" s="30">
        <v>6897200</v>
      </c>
      <c r="H36" s="29">
        <f t="shared" si="6"/>
        <v>0</v>
      </c>
      <c r="I36" s="30">
        <v>6897200</v>
      </c>
      <c r="J36" s="29">
        <f t="shared" si="7"/>
        <v>0</v>
      </c>
      <c r="K36" s="29">
        <v>4971711.49</v>
      </c>
      <c r="L36" s="29">
        <f t="shared" si="8"/>
        <v>-1925488.5099999998</v>
      </c>
      <c r="M36" s="29">
        <v>4971711.49</v>
      </c>
      <c r="N36" s="29">
        <f t="shared" si="9"/>
        <v>0</v>
      </c>
    </row>
    <row r="37" spans="1:14" s="17" customFormat="1" ht="47.25" x14ac:dyDescent="0.25">
      <c r="A37" s="15" t="s">
        <v>35</v>
      </c>
      <c r="B37" s="32">
        <v>0</v>
      </c>
      <c r="C37" s="32">
        <v>0</v>
      </c>
      <c r="D37" s="32">
        <v>0</v>
      </c>
      <c r="E37" s="32">
        <v>0</v>
      </c>
      <c r="F37" s="30">
        <v>1735600</v>
      </c>
      <c r="G37" s="30">
        <f>971936+763664</f>
        <v>1735600</v>
      </c>
      <c r="H37" s="29">
        <f t="shared" si="6"/>
        <v>0</v>
      </c>
      <c r="I37" s="30">
        <f>971936+763664</f>
        <v>1735600</v>
      </c>
      <c r="J37" s="29">
        <f t="shared" si="7"/>
        <v>0</v>
      </c>
      <c r="K37" s="29">
        <f>971935.71+763663.79</f>
        <v>1735599.5</v>
      </c>
      <c r="L37" s="29">
        <f t="shared" si="8"/>
        <v>-0.5</v>
      </c>
      <c r="M37" s="29">
        <f>971935.71+763663.79</f>
        <v>1735599.5</v>
      </c>
      <c r="N37" s="29">
        <f t="shared" si="9"/>
        <v>0</v>
      </c>
    </row>
    <row r="38" spans="1:14" s="17" customFormat="1" ht="63" x14ac:dyDescent="0.25">
      <c r="A38" s="15" t="s">
        <v>37</v>
      </c>
      <c r="B38" s="32">
        <v>0</v>
      </c>
      <c r="C38" s="32">
        <v>0</v>
      </c>
      <c r="D38" s="32">
        <v>0</v>
      </c>
      <c r="E38" s="32">
        <v>0</v>
      </c>
      <c r="F38" s="30">
        <v>38935900</v>
      </c>
      <c r="G38" s="30">
        <v>38935900</v>
      </c>
      <c r="H38" s="29">
        <f t="shared" si="6"/>
        <v>0</v>
      </c>
      <c r="I38" s="30">
        <v>38935900</v>
      </c>
      <c r="J38" s="29">
        <f t="shared" si="7"/>
        <v>0</v>
      </c>
      <c r="K38" s="29">
        <v>15909333.24</v>
      </c>
      <c r="L38" s="29">
        <f t="shared" si="8"/>
        <v>-23026566.759999998</v>
      </c>
      <c r="M38" s="29">
        <v>15909333.24</v>
      </c>
      <c r="N38" s="29">
        <f t="shared" si="9"/>
        <v>0</v>
      </c>
    </row>
    <row r="39" spans="1:14" s="17" customFormat="1" ht="47.25" x14ac:dyDescent="0.25">
      <c r="A39" s="15" t="s">
        <v>29</v>
      </c>
      <c r="B39" s="32">
        <v>0</v>
      </c>
      <c r="C39" s="32">
        <v>0</v>
      </c>
      <c r="D39" s="32">
        <v>0</v>
      </c>
      <c r="E39" s="32">
        <v>0</v>
      </c>
      <c r="F39" s="30">
        <v>5936200</v>
      </c>
      <c r="G39" s="30">
        <v>5936200</v>
      </c>
      <c r="H39" s="29">
        <f t="shared" si="6"/>
        <v>0</v>
      </c>
      <c r="I39" s="30">
        <v>5936200</v>
      </c>
      <c r="J39" s="29">
        <f t="shared" si="7"/>
        <v>0</v>
      </c>
      <c r="K39" s="29">
        <v>5119101.93</v>
      </c>
      <c r="L39" s="29">
        <f t="shared" si="8"/>
        <v>-817098.0700000003</v>
      </c>
      <c r="M39" s="29">
        <v>5119101.93</v>
      </c>
      <c r="N39" s="29">
        <f t="shared" si="9"/>
        <v>0</v>
      </c>
    </row>
    <row r="40" spans="1:14" s="17" customFormat="1" ht="63" x14ac:dyDescent="0.25">
      <c r="A40" s="15" t="s">
        <v>46</v>
      </c>
      <c r="B40" s="32">
        <v>0</v>
      </c>
      <c r="C40" s="32">
        <v>0</v>
      </c>
      <c r="D40" s="32">
        <v>0</v>
      </c>
      <c r="E40" s="32">
        <v>0</v>
      </c>
      <c r="F40" s="30">
        <v>37135500</v>
      </c>
      <c r="G40" s="30">
        <v>0</v>
      </c>
      <c r="H40" s="29">
        <f t="shared" si="6"/>
        <v>-37135500</v>
      </c>
      <c r="I40" s="30">
        <v>0</v>
      </c>
      <c r="J40" s="29">
        <f t="shared" si="7"/>
        <v>0</v>
      </c>
      <c r="K40" s="29">
        <v>0</v>
      </c>
      <c r="L40" s="29">
        <f t="shared" si="8"/>
        <v>0</v>
      </c>
      <c r="M40" s="29">
        <v>0</v>
      </c>
      <c r="N40" s="29">
        <f t="shared" si="9"/>
        <v>0</v>
      </c>
    </row>
    <row r="41" spans="1:14" s="17" customFormat="1" ht="63" x14ac:dyDescent="0.25">
      <c r="A41" s="15" t="s">
        <v>47</v>
      </c>
      <c r="B41" s="32">
        <v>0</v>
      </c>
      <c r="C41" s="32">
        <v>0</v>
      </c>
      <c r="D41" s="32">
        <v>0</v>
      </c>
      <c r="E41" s="32">
        <v>0</v>
      </c>
      <c r="F41" s="30">
        <v>65971000</v>
      </c>
      <c r="G41" s="30">
        <v>175941100</v>
      </c>
      <c r="H41" s="29">
        <f t="shared" si="6"/>
        <v>109970100</v>
      </c>
      <c r="I41" s="30">
        <v>175941100</v>
      </c>
      <c r="J41" s="29">
        <f t="shared" si="7"/>
        <v>0</v>
      </c>
      <c r="K41" s="29">
        <v>0</v>
      </c>
      <c r="L41" s="29">
        <f t="shared" si="8"/>
        <v>-175941100</v>
      </c>
      <c r="M41" s="29">
        <v>0</v>
      </c>
      <c r="N41" s="29">
        <f t="shared" si="9"/>
        <v>0</v>
      </c>
    </row>
    <row r="42" spans="1:14" s="17" customFormat="1" ht="31.5" x14ac:dyDescent="0.25">
      <c r="A42" s="15" t="s">
        <v>38</v>
      </c>
      <c r="B42" s="32">
        <v>0</v>
      </c>
      <c r="C42" s="32">
        <v>0</v>
      </c>
      <c r="D42" s="32">
        <v>0</v>
      </c>
      <c r="E42" s="32">
        <v>0</v>
      </c>
      <c r="F42" s="30">
        <v>2621200</v>
      </c>
      <c r="G42" s="30">
        <f>1467873.51+1153326.49</f>
        <v>2621200</v>
      </c>
      <c r="H42" s="29">
        <f t="shared" si="6"/>
        <v>0</v>
      </c>
      <c r="I42" s="30">
        <f>1467873.51+1153326.49</f>
        <v>2621200</v>
      </c>
      <c r="J42" s="29">
        <f t="shared" si="7"/>
        <v>0</v>
      </c>
      <c r="K42" s="29">
        <f>1467873.5+1153326.49</f>
        <v>2621199.9900000002</v>
      </c>
      <c r="L42" s="29">
        <f t="shared" si="8"/>
        <v>-9.9999997764825821E-3</v>
      </c>
      <c r="M42" s="29">
        <f>1467873.5+1153326.49</f>
        <v>2621199.9900000002</v>
      </c>
      <c r="N42" s="29">
        <f t="shared" si="9"/>
        <v>0</v>
      </c>
    </row>
    <row r="43" spans="1:14" s="17" customFormat="1" ht="31.5" x14ac:dyDescent="0.25">
      <c r="A43" s="15" t="s">
        <v>33</v>
      </c>
      <c r="B43" s="32">
        <v>0</v>
      </c>
      <c r="C43" s="32">
        <v>0</v>
      </c>
      <c r="D43" s="32">
        <v>0</v>
      </c>
      <c r="E43" s="32">
        <v>0</v>
      </c>
      <c r="F43" s="30">
        <v>17101700</v>
      </c>
      <c r="G43" s="30">
        <f>25670500-8568800</f>
        <v>17101700</v>
      </c>
      <c r="H43" s="29">
        <f t="shared" si="6"/>
        <v>0</v>
      </c>
      <c r="I43" s="30">
        <v>25670500</v>
      </c>
      <c r="J43" s="29">
        <f t="shared" si="7"/>
        <v>8568800</v>
      </c>
      <c r="K43" s="29">
        <v>15790424.83</v>
      </c>
      <c r="L43" s="29">
        <f t="shared" si="8"/>
        <v>-9880075.1699999999</v>
      </c>
      <c r="M43" s="29">
        <v>15790424.83</v>
      </c>
      <c r="N43" s="29">
        <f t="shared" si="9"/>
        <v>0</v>
      </c>
    </row>
    <row r="44" spans="1:14" s="17" customFormat="1" ht="31.5" x14ac:dyDescent="0.25">
      <c r="A44" s="15" t="s">
        <v>34</v>
      </c>
      <c r="B44" s="32">
        <v>0</v>
      </c>
      <c r="C44" s="32">
        <v>0</v>
      </c>
      <c r="D44" s="32">
        <v>0</v>
      </c>
      <c r="E44" s="32">
        <v>0</v>
      </c>
      <c r="F44" s="30">
        <v>5767300</v>
      </c>
      <c r="G44" s="30">
        <f>2711800+3055500</f>
        <v>5767300</v>
      </c>
      <c r="H44" s="29">
        <f t="shared" si="6"/>
        <v>0</v>
      </c>
      <c r="I44" s="30">
        <v>2711800</v>
      </c>
      <c r="J44" s="29">
        <f t="shared" si="7"/>
        <v>-3055500</v>
      </c>
      <c r="K44" s="29">
        <v>0</v>
      </c>
      <c r="L44" s="29">
        <f t="shared" si="8"/>
        <v>-2711800</v>
      </c>
      <c r="M44" s="29">
        <v>0</v>
      </c>
      <c r="N44" s="29">
        <f t="shared" si="9"/>
        <v>0</v>
      </c>
    </row>
    <row r="45" spans="1:14" s="17" customFormat="1" ht="31.5" x14ac:dyDescent="0.25">
      <c r="A45" s="15" t="s">
        <v>49</v>
      </c>
      <c r="B45" s="32">
        <v>0</v>
      </c>
      <c r="C45" s="32">
        <v>0</v>
      </c>
      <c r="D45" s="32">
        <v>0</v>
      </c>
      <c r="E45" s="32">
        <v>0</v>
      </c>
      <c r="F45" s="30">
        <v>5995400</v>
      </c>
      <c r="G45" s="30">
        <f>354500+5640900</f>
        <v>5995400</v>
      </c>
      <c r="H45" s="29">
        <f t="shared" si="6"/>
        <v>0</v>
      </c>
      <c r="I45" s="30">
        <f>5640900+354500</f>
        <v>5995400</v>
      </c>
      <c r="J45" s="29">
        <f t="shared" si="7"/>
        <v>0</v>
      </c>
      <c r="K45" s="29">
        <f>5057207.64+317797.31</f>
        <v>5375004.9499999993</v>
      </c>
      <c r="L45" s="29">
        <f t="shared" si="8"/>
        <v>-620395.05000000075</v>
      </c>
      <c r="M45" s="29">
        <f>5057207.64+317797.31</f>
        <v>5375004.9499999993</v>
      </c>
      <c r="N45" s="29">
        <f t="shared" si="9"/>
        <v>0</v>
      </c>
    </row>
    <row r="46" spans="1:14" s="17" customFormat="1" ht="31.5" x14ac:dyDescent="0.25">
      <c r="A46" s="15" t="s">
        <v>10</v>
      </c>
      <c r="B46" s="32">
        <v>0</v>
      </c>
      <c r="C46" s="32">
        <v>1091.06</v>
      </c>
      <c r="D46" s="32">
        <v>1091.06</v>
      </c>
      <c r="E46" s="32">
        <v>0</v>
      </c>
      <c r="F46" s="30">
        <v>64500</v>
      </c>
      <c r="G46" s="30">
        <v>64500</v>
      </c>
      <c r="H46" s="29">
        <f t="shared" si="6"/>
        <v>0</v>
      </c>
      <c r="I46" s="30">
        <v>64500</v>
      </c>
      <c r="J46" s="29">
        <f t="shared" si="7"/>
        <v>0</v>
      </c>
      <c r="K46" s="29">
        <v>37249.949999999997</v>
      </c>
      <c r="L46" s="29">
        <f t="shared" si="8"/>
        <v>-27250.050000000003</v>
      </c>
      <c r="M46" s="29">
        <v>37249.949999999997</v>
      </c>
      <c r="N46" s="29">
        <f t="shared" si="9"/>
        <v>0</v>
      </c>
    </row>
    <row r="47" spans="1:14" s="17" customFormat="1" ht="63" x14ac:dyDescent="0.25">
      <c r="A47" s="15" t="s">
        <v>28</v>
      </c>
      <c r="B47" s="32">
        <v>0</v>
      </c>
      <c r="C47" s="32">
        <v>0</v>
      </c>
      <c r="D47" s="32">
        <v>0</v>
      </c>
      <c r="E47" s="32">
        <v>0</v>
      </c>
      <c r="F47" s="30">
        <v>118575200</v>
      </c>
      <c r="G47" s="30">
        <f>95718000+50267000</f>
        <v>145985000</v>
      </c>
      <c r="H47" s="29">
        <f t="shared" si="6"/>
        <v>27409800</v>
      </c>
      <c r="I47" s="30">
        <f>95718000+50267000</f>
        <v>145985000</v>
      </c>
      <c r="J47" s="29">
        <f t="shared" si="7"/>
        <v>0</v>
      </c>
      <c r="K47" s="29">
        <f>33441581.29+17562050.68</f>
        <v>51003631.969999999</v>
      </c>
      <c r="L47" s="29">
        <f t="shared" si="8"/>
        <v>-94981368.030000001</v>
      </c>
      <c r="M47" s="29">
        <f>33441581.29+17562050.68</f>
        <v>51003631.969999999</v>
      </c>
      <c r="N47" s="29">
        <f t="shared" si="9"/>
        <v>0</v>
      </c>
    </row>
    <row r="48" spans="1:14" s="17" customFormat="1" ht="94.5" x14ac:dyDescent="0.25">
      <c r="A48" s="15" t="s">
        <v>48</v>
      </c>
      <c r="B48" s="32">
        <v>0</v>
      </c>
      <c r="C48" s="32">
        <v>1511.87</v>
      </c>
      <c r="D48" s="32">
        <v>1511.87</v>
      </c>
      <c r="E48" s="32">
        <v>0</v>
      </c>
      <c r="F48" s="30">
        <v>195600</v>
      </c>
      <c r="G48" s="30">
        <v>195600</v>
      </c>
      <c r="H48" s="29">
        <f t="shared" si="6"/>
        <v>0</v>
      </c>
      <c r="I48" s="30">
        <v>195600</v>
      </c>
      <c r="J48" s="29">
        <f t="shared" si="7"/>
        <v>0</v>
      </c>
      <c r="K48" s="29">
        <v>180540</v>
      </c>
      <c r="L48" s="29">
        <f t="shared" si="8"/>
        <v>-15060</v>
      </c>
      <c r="M48" s="29">
        <v>180540</v>
      </c>
      <c r="N48" s="29">
        <f t="shared" si="9"/>
        <v>0</v>
      </c>
    </row>
    <row r="49" spans="1:14" s="17" customFormat="1" ht="110.25" x14ac:dyDescent="0.25">
      <c r="A49" s="15" t="s">
        <v>84</v>
      </c>
      <c r="B49" s="32">
        <v>0</v>
      </c>
      <c r="C49" s="32">
        <v>0</v>
      </c>
      <c r="D49" s="32">
        <v>0</v>
      </c>
      <c r="E49" s="32">
        <v>0</v>
      </c>
      <c r="F49" s="30">
        <v>619200</v>
      </c>
      <c r="G49" s="30">
        <v>619200</v>
      </c>
      <c r="H49" s="29">
        <f t="shared" si="6"/>
        <v>0</v>
      </c>
      <c r="I49" s="30">
        <v>619200</v>
      </c>
      <c r="J49" s="29">
        <f t="shared" si="7"/>
        <v>0</v>
      </c>
      <c r="K49" s="29">
        <v>170968</v>
      </c>
      <c r="L49" s="29">
        <f t="shared" si="8"/>
        <v>-448232</v>
      </c>
      <c r="M49" s="29">
        <v>170968</v>
      </c>
      <c r="N49" s="29">
        <f t="shared" si="9"/>
        <v>0</v>
      </c>
    </row>
    <row r="50" spans="1:14" s="17" customFormat="1" ht="31.5" x14ac:dyDescent="0.25">
      <c r="A50" s="15" t="s">
        <v>11</v>
      </c>
      <c r="B50" s="32">
        <v>0</v>
      </c>
      <c r="C50" s="32">
        <v>0</v>
      </c>
      <c r="D50" s="32">
        <v>0</v>
      </c>
      <c r="E50" s="32">
        <v>0</v>
      </c>
      <c r="F50" s="30">
        <v>195702100</v>
      </c>
      <c r="G50" s="30">
        <f>144156500+45059100+6486500</f>
        <v>195702100</v>
      </c>
      <c r="H50" s="29">
        <f t="shared" si="6"/>
        <v>0</v>
      </c>
      <c r="I50" s="30">
        <v>144156500</v>
      </c>
      <c r="J50" s="29">
        <f t="shared" si="7"/>
        <v>-51545600</v>
      </c>
      <c r="K50" s="29">
        <v>33025032</v>
      </c>
      <c r="L50" s="29">
        <f t="shared" si="8"/>
        <v>-111131468</v>
      </c>
      <c r="M50" s="29">
        <v>33025032</v>
      </c>
      <c r="N50" s="29">
        <f t="shared" si="9"/>
        <v>0</v>
      </c>
    </row>
    <row r="51" spans="1:14" s="17" customFormat="1" ht="31.5" x14ac:dyDescent="0.25">
      <c r="A51" s="15" t="s">
        <v>52</v>
      </c>
      <c r="B51" s="32">
        <v>0</v>
      </c>
      <c r="C51" s="32">
        <v>0</v>
      </c>
      <c r="D51" s="32">
        <v>0</v>
      </c>
      <c r="E51" s="32">
        <v>0</v>
      </c>
      <c r="F51" s="30">
        <v>61727700</v>
      </c>
      <c r="G51" s="30">
        <v>0</v>
      </c>
      <c r="H51" s="29">
        <f t="shared" si="6"/>
        <v>-61727700</v>
      </c>
      <c r="I51" s="30">
        <v>0</v>
      </c>
      <c r="J51" s="29">
        <f t="shared" si="7"/>
        <v>0</v>
      </c>
      <c r="K51" s="29">
        <v>0</v>
      </c>
      <c r="L51" s="29">
        <f t="shared" si="8"/>
        <v>0</v>
      </c>
      <c r="M51" s="29">
        <v>0</v>
      </c>
      <c r="N51" s="29">
        <f t="shared" si="9"/>
        <v>0</v>
      </c>
    </row>
    <row r="52" spans="1:14" s="17" customFormat="1" ht="47.25" x14ac:dyDescent="0.25">
      <c r="A52" s="15" t="s">
        <v>55</v>
      </c>
      <c r="B52" s="32">
        <v>0</v>
      </c>
      <c r="C52" s="32">
        <v>0</v>
      </c>
      <c r="D52" s="32">
        <v>0</v>
      </c>
      <c r="E52" s="32">
        <v>0</v>
      </c>
      <c r="F52" s="30">
        <v>66792400</v>
      </c>
      <c r="G52" s="30">
        <v>0</v>
      </c>
      <c r="H52" s="29">
        <f t="shared" si="6"/>
        <v>-66792400</v>
      </c>
      <c r="I52" s="30">
        <v>0</v>
      </c>
      <c r="J52" s="29">
        <f t="shared" si="7"/>
        <v>0</v>
      </c>
      <c r="K52" s="29">
        <v>0</v>
      </c>
      <c r="L52" s="29">
        <f t="shared" si="8"/>
        <v>0</v>
      </c>
      <c r="M52" s="29">
        <v>0</v>
      </c>
      <c r="N52" s="29">
        <f t="shared" si="9"/>
        <v>0</v>
      </c>
    </row>
    <row r="53" spans="1:14" s="17" customFormat="1" ht="31.5" x14ac:dyDescent="0.25">
      <c r="A53" s="15" t="s">
        <v>19</v>
      </c>
      <c r="B53" s="32">
        <v>0</v>
      </c>
      <c r="C53" s="32">
        <v>0</v>
      </c>
      <c r="D53" s="32">
        <v>0</v>
      </c>
      <c r="E53" s="32">
        <v>0</v>
      </c>
      <c r="F53" s="30">
        <v>25242500</v>
      </c>
      <c r="G53" s="30">
        <f>15400000+9842500</f>
        <v>25242500</v>
      </c>
      <c r="H53" s="29">
        <f t="shared" si="6"/>
        <v>0</v>
      </c>
      <c r="I53" s="30">
        <f>9842500+15400000</f>
        <v>25242500</v>
      </c>
      <c r="J53" s="29">
        <f t="shared" si="7"/>
        <v>0</v>
      </c>
      <c r="K53" s="29">
        <f>1489738.31+952455.52</f>
        <v>2442193.83</v>
      </c>
      <c r="L53" s="29">
        <f t="shared" si="8"/>
        <v>-22800306.170000002</v>
      </c>
      <c r="M53" s="29">
        <f>1489738.31+952455.52</f>
        <v>2442193.83</v>
      </c>
      <c r="N53" s="29">
        <f t="shared" si="9"/>
        <v>0</v>
      </c>
    </row>
    <row r="54" spans="1:14" s="17" customFormat="1" ht="47.25" x14ac:dyDescent="0.25">
      <c r="A54" s="15" t="s">
        <v>50</v>
      </c>
      <c r="B54" s="32">
        <v>0</v>
      </c>
      <c r="C54" s="32">
        <v>0</v>
      </c>
      <c r="D54" s="32">
        <v>0</v>
      </c>
      <c r="E54" s="32">
        <v>0</v>
      </c>
      <c r="F54" s="30">
        <v>69285900</v>
      </c>
      <c r="G54" s="30">
        <v>69285900</v>
      </c>
      <c r="H54" s="29">
        <f t="shared" si="6"/>
        <v>0</v>
      </c>
      <c r="I54" s="30">
        <v>0</v>
      </c>
      <c r="J54" s="29">
        <f t="shared" si="7"/>
        <v>-69285900</v>
      </c>
      <c r="K54" s="29">
        <v>0</v>
      </c>
      <c r="L54" s="29">
        <f t="shared" si="8"/>
        <v>0</v>
      </c>
      <c r="M54" s="29">
        <v>0</v>
      </c>
      <c r="N54" s="29">
        <f t="shared" si="9"/>
        <v>0</v>
      </c>
    </row>
    <row r="55" spans="1:14" s="17" customFormat="1" ht="78.75" x14ac:dyDescent="0.25">
      <c r="A55" s="15" t="s">
        <v>57</v>
      </c>
      <c r="B55" s="32">
        <v>0</v>
      </c>
      <c r="C55" s="32">
        <v>0</v>
      </c>
      <c r="D55" s="32">
        <v>0</v>
      </c>
      <c r="E55" s="32">
        <v>0</v>
      </c>
      <c r="F55" s="30">
        <v>113878700</v>
      </c>
      <c r="G55" s="30">
        <f>50106600+63772100</f>
        <v>113878700</v>
      </c>
      <c r="H55" s="29">
        <f t="shared" si="6"/>
        <v>0</v>
      </c>
      <c r="I55" s="30">
        <v>50106600</v>
      </c>
      <c r="J55" s="29">
        <f t="shared" si="7"/>
        <v>-63772100</v>
      </c>
      <c r="K55" s="29">
        <v>0</v>
      </c>
      <c r="L55" s="29">
        <f t="shared" si="8"/>
        <v>-50106600</v>
      </c>
      <c r="M55" s="29">
        <v>0</v>
      </c>
      <c r="N55" s="29">
        <f t="shared" si="9"/>
        <v>0</v>
      </c>
    </row>
    <row r="56" spans="1:14" s="17" customFormat="1" ht="47.25" x14ac:dyDescent="0.25">
      <c r="A56" s="15" t="s">
        <v>51</v>
      </c>
      <c r="B56" s="32">
        <v>0</v>
      </c>
      <c r="C56" s="32">
        <v>0</v>
      </c>
      <c r="D56" s="32">
        <v>0</v>
      </c>
      <c r="E56" s="32">
        <v>0</v>
      </c>
      <c r="F56" s="30">
        <v>104685200</v>
      </c>
      <c r="G56" s="30">
        <v>0</v>
      </c>
      <c r="H56" s="29">
        <f t="shared" si="6"/>
        <v>-104685200</v>
      </c>
      <c r="I56" s="30">
        <v>0</v>
      </c>
      <c r="J56" s="29">
        <f t="shared" si="7"/>
        <v>0</v>
      </c>
      <c r="K56" s="29">
        <v>0</v>
      </c>
      <c r="L56" s="29">
        <f t="shared" si="8"/>
        <v>0</v>
      </c>
      <c r="M56" s="29">
        <v>0</v>
      </c>
      <c r="N56" s="29">
        <f t="shared" si="9"/>
        <v>0</v>
      </c>
    </row>
    <row r="57" spans="1:14" s="17" customFormat="1" ht="63" x14ac:dyDescent="0.25">
      <c r="A57" s="15" t="s">
        <v>53</v>
      </c>
      <c r="B57" s="32">
        <v>0</v>
      </c>
      <c r="C57" s="32">
        <v>0</v>
      </c>
      <c r="D57" s="32">
        <v>0</v>
      </c>
      <c r="E57" s="32">
        <v>0</v>
      </c>
      <c r="F57" s="30">
        <v>73781400</v>
      </c>
      <c r="G57" s="30">
        <v>73781400</v>
      </c>
      <c r="H57" s="29">
        <f t="shared" si="6"/>
        <v>0</v>
      </c>
      <c r="I57" s="30">
        <v>0</v>
      </c>
      <c r="J57" s="29">
        <f t="shared" si="7"/>
        <v>-73781400</v>
      </c>
      <c r="K57" s="29">
        <v>0</v>
      </c>
      <c r="L57" s="29">
        <f t="shared" si="8"/>
        <v>0</v>
      </c>
      <c r="M57" s="29">
        <v>0</v>
      </c>
      <c r="N57" s="29">
        <f t="shared" si="9"/>
        <v>0</v>
      </c>
    </row>
    <row r="58" spans="1:14" s="17" customFormat="1" ht="47.25" x14ac:dyDescent="0.25">
      <c r="A58" s="15" t="s">
        <v>54</v>
      </c>
      <c r="B58" s="32">
        <v>0</v>
      </c>
      <c r="C58" s="32">
        <v>0</v>
      </c>
      <c r="D58" s="32">
        <v>0</v>
      </c>
      <c r="E58" s="32">
        <v>0</v>
      </c>
      <c r="F58" s="30">
        <v>69205700</v>
      </c>
      <c r="G58" s="30">
        <f>48728800+1703200</f>
        <v>50432000</v>
      </c>
      <c r="H58" s="29">
        <f t="shared" si="6"/>
        <v>-18773700</v>
      </c>
      <c r="I58" s="30">
        <v>48728800</v>
      </c>
      <c r="J58" s="29">
        <f t="shared" si="7"/>
        <v>-1703200</v>
      </c>
      <c r="K58" s="29">
        <v>0</v>
      </c>
      <c r="L58" s="29">
        <f t="shared" si="8"/>
        <v>-48728800</v>
      </c>
      <c r="M58" s="29">
        <v>0</v>
      </c>
      <c r="N58" s="29">
        <f t="shared" si="9"/>
        <v>0</v>
      </c>
    </row>
    <row r="59" spans="1:14" s="17" customFormat="1" ht="31.5" x14ac:dyDescent="0.25">
      <c r="A59" s="15" t="s">
        <v>56</v>
      </c>
      <c r="B59" s="32">
        <v>0</v>
      </c>
      <c r="C59" s="32">
        <v>0</v>
      </c>
      <c r="D59" s="32">
        <v>0</v>
      </c>
      <c r="E59" s="32">
        <v>0</v>
      </c>
      <c r="F59" s="30">
        <v>35897400</v>
      </c>
      <c r="G59" s="30">
        <f>21897400+14000000</f>
        <v>35897400</v>
      </c>
      <c r="H59" s="29">
        <f t="shared" si="6"/>
        <v>0</v>
      </c>
      <c r="I59" s="30">
        <f>21897400+14000000</f>
        <v>35897400</v>
      </c>
      <c r="J59" s="29">
        <f t="shared" si="7"/>
        <v>0</v>
      </c>
      <c r="K59" s="29">
        <f>18399161.96+11763417.92</f>
        <v>30162579.880000003</v>
      </c>
      <c r="L59" s="29">
        <f t="shared" si="8"/>
        <v>-5734820.1199999973</v>
      </c>
      <c r="M59" s="29">
        <f>18399161.96+11763417.92</f>
        <v>30162579.880000003</v>
      </c>
      <c r="N59" s="29">
        <f t="shared" si="9"/>
        <v>0</v>
      </c>
    </row>
    <row r="60" spans="1:14" s="17" customFormat="1" ht="94.5" x14ac:dyDescent="0.25">
      <c r="A60" s="41" t="s">
        <v>85</v>
      </c>
      <c r="B60" s="30">
        <v>0</v>
      </c>
      <c r="C60" s="30">
        <v>0</v>
      </c>
      <c r="D60" s="30">
        <v>0</v>
      </c>
      <c r="E60" s="30">
        <v>0</v>
      </c>
      <c r="F60" s="30">
        <v>0</v>
      </c>
      <c r="G60" s="30">
        <v>291135781.11000001</v>
      </c>
      <c r="H60" s="29">
        <f t="shared" si="6"/>
        <v>291135781.11000001</v>
      </c>
      <c r="I60" s="30">
        <v>291135781.11000001</v>
      </c>
      <c r="J60" s="29">
        <f t="shared" si="7"/>
        <v>0</v>
      </c>
      <c r="K60" s="28">
        <v>0</v>
      </c>
      <c r="L60" s="29">
        <f t="shared" si="8"/>
        <v>-291135781.11000001</v>
      </c>
      <c r="M60" s="28">
        <v>0</v>
      </c>
      <c r="N60" s="29">
        <f t="shared" si="9"/>
        <v>0</v>
      </c>
    </row>
    <row r="61" spans="1:14" s="17" customFormat="1" ht="31.5" x14ac:dyDescent="0.25">
      <c r="A61" s="41" t="s">
        <v>72</v>
      </c>
      <c r="B61" s="30"/>
      <c r="C61" s="30">
        <v>0</v>
      </c>
      <c r="D61" s="30">
        <v>0</v>
      </c>
      <c r="E61" s="30">
        <v>0</v>
      </c>
      <c r="F61" s="30">
        <v>0</v>
      </c>
      <c r="G61" s="30">
        <v>1196300</v>
      </c>
      <c r="H61" s="29">
        <f t="shared" si="6"/>
        <v>1196300</v>
      </c>
      <c r="I61" s="30">
        <v>1196300</v>
      </c>
      <c r="J61" s="29">
        <f t="shared" si="7"/>
        <v>0</v>
      </c>
      <c r="K61" s="28">
        <v>1196300</v>
      </c>
      <c r="L61" s="29">
        <f t="shared" si="8"/>
        <v>0</v>
      </c>
      <c r="M61" s="28">
        <v>1196300</v>
      </c>
      <c r="N61" s="29">
        <f t="shared" si="9"/>
        <v>0</v>
      </c>
    </row>
    <row r="62" spans="1:14" s="17" customFormat="1" ht="47.25" x14ac:dyDescent="0.25">
      <c r="A62" s="41" t="s">
        <v>73</v>
      </c>
      <c r="B62" s="30"/>
      <c r="C62" s="30">
        <v>0</v>
      </c>
      <c r="D62" s="30">
        <v>0</v>
      </c>
      <c r="E62" s="30">
        <v>0</v>
      </c>
      <c r="F62" s="30">
        <v>0</v>
      </c>
      <c r="G62" s="30">
        <v>52342600</v>
      </c>
      <c r="H62" s="29">
        <f t="shared" si="6"/>
        <v>52342600</v>
      </c>
      <c r="I62" s="30">
        <v>52342600</v>
      </c>
      <c r="J62" s="29">
        <f t="shared" si="7"/>
        <v>0</v>
      </c>
      <c r="K62" s="28">
        <v>0</v>
      </c>
      <c r="L62" s="29">
        <f t="shared" si="8"/>
        <v>-52342600</v>
      </c>
      <c r="M62" s="28">
        <v>0</v>
      </c>
      <c r="N62" s="29">
        <f t="shared" si="9"/>
        <v>0</v>
      </c>
    </row>
    <row r="63" spans="1:14" s="17" customFormat="1" ht="93.75" customHeight="1" x14ac:dyDescent="0.25">
      <c r="A63" s="42" t="s">
        <v>86</v>
      </c>
      <c r="B63" s="30"/>
      <c r="C63" s="30">
        <v>0</v>
      </c>
      <c r="D63" s="30">
        <v>0</v>
      </c>
      <c r="E63" s="30">
        <v>0</v>
      </c>
      <c r="F63" s="30">
        <v>0</v>
      </c>
      <c r="G63" s="30">
        <v>408000</v>
      </c>
      <c r="H63" s="29">
        <f t="shared" si="6"/>
        <v>408000</v>
      </c>
      <c r="I63" s="30">
        <v>408000</v>
      </c>
      <c r="J63" s="29">
        <f t="shared" si="7"/>
        <v>0</v>
      </c>
      <c r="K63" s="28">
        <v>0</v>
      </c>
      <c r="L63" s="29">
        <f t="shared" si="8"/>
        <v>-408000</v>
      </c>
      <c r="M63" s="28">
        <v>0</v>
      </c>
      <c r="N63" s="29">
        <f t="shared" si="9"/>
        <v>0</v>
      </c>
    </row>
    <row r="64" spans="1:14" s="17" customFormat="1" ht="58.5" customHeight="1" x14ac:dyDescent="0.25">
      <c r="A64" s="42" t="s">
        <v>77</v>
      </c>
      <c r="B64" s="30"/>
      <c r="C64" s="30"/>
      <c r="D64" s="30">
        <v>0</v>
      </c>
      <c r="E64" s="30">
        <v>0</v>
      </c>
      <c r="F64" s="30">
        <v>0</v>
      </c>
      <c r="G64" s="30">
        <v>0</v>
      </c>
      <c r="H64" s="28">
        <f t="shared" si="6"/>
        <v>0</v>
      </c>
      <c r="I64" s="30">
        <v>4401600</v>
      </c>
      <c r="J64" s="29">
        <f t="shared" si="7"/>
        <v>4401600</v>
      </c>
      <c r="K64" s="28">
        <v>0</v>
      </c>
      <c r="L64" s="29">
        <f t="shared" si="8"/>
        <v>-4401600</v>
      </c>
      <c r="M64" s="28">
        <v>0</v>
      </c>
      <c r="N64" s="29">
        <f t="shared" si="9"/>
        <v>0</v>
      </c>
    </row>
    <row r="65" spans="1:14" s="21" customFormat="1" x14ac:dyDescent="0.25">
      <c r="A65" s="18" t="s">
        <v>13</v>
      </c>
      <c r="B65" s="34">
        <f t="shared" ref="B65:H65" si="10">SUM(B28:B60)</f>
        <v>0</v>
      </c>
      <c r="C65" s="34">
        <f>SUM(C28:C63)</f>
        <v>2602.9299999999998</v>
      </c>
      <c r="D65" s="34">
        <f>SUM(D28:D64)</f>
        <v>2602.9299999999998</v>
      </c>
      <c r="E65" s="34">
        <f>SUM(E28:E64)</f>
        <v>0</v>
      </c>
      <c r="F65" s="34">
        <f>SUM(F28:F64)</f>
        <v>2886486600</v>
      </c>
      <c r="G65" s="34">
        <f>SUM(G28:G64)</f>
        <v>3378853581.1100001</v>
      </c>
      <c r="H65" s="34">
        <f t="shared" si="10"/>
        <v>438420081.11000001</v>
      </c>
      <c r="I65" s="34">
        <f>SUM(I28:I64)</f>
        <v>3121272981.1100001</v>
      </c>
      <c r="J65" s="33">
        <f t="shared" si="7"/>
        <v>-257580600</v>
      </c>
      <c r="K65" s="34">
        <f>SUM(K28:K64)</f>
        <v>1101795754.1900003</v>
      </c>
      <c r="L65" s="33">
        <f t="shared" si="8"/>
        <v>-2019477226.9199998</v>
      </c>
      <c r="M65" s="34">
        <f>SUM(M28:M64)</f>
        <v>1101795754.1900003</v>
      </c>
      <c r="N65" s="33">
        <f t="shared" si="9"/>
        <v>0</v>
      </c>
    </row>
    <row r="66" spans="1:14" s="20" customFormat="1" ht="15.75" customHeight="1" x14ac:dyDescent="0.25">
      <c r="A66" s="50" t="s">
        <v>14</v>
      </c>
      <c r="B66" s="51"/>
      <c r="C66" s="51"/>
      <c r="D66" s="51"/>
      <c r="E66" s="51"/>
      <c r="F66" s="51"/>
      <c r="G66" s="52"/>
      <c r="H66" s="52"/>
      <c r="I66" s="52"/>
      <c r="J66" s="52"/>
      <c r="K66" s="52"/>
      <c r="L66" s="52"/>
      <c r="M66" s="52"/>
      <c r="N66" s="53"/>
    </row>
    <row r="67" spans="1:14" s="19" customFormat="1" ht="31.5" x14ac:dyDescent="0.25">
      <c r="A67" s="22" t="s">
        <v>15</v>
      </c>
      <c r="B67" s="37">
        <v>0</v>
      </c>
      <c r="C67" s="37">
        <v>0</v>
      </c>
      <c r="D67" s="37">
        <v>0</v>
      </c>
      <c r="E67" s="37">
        <v>0</v>
      </c>
      <c r="F67" s="35">
        <v>5339900</v>
      </c>
      <c r="G67" s="35">
        <f>9283200+64700</f>
        <v>9347900</v>
      </c>
      <c r="H67" s="29">
        <f t="shared" ref="H67:H71" si="11">G67-F67</f>
        <v>4008000</v>
      </c>
      <c r="I67" s="35">
        <v>9283200</v>
      </c>
      <c r="J67" s="29">
        <f t="shared" ref="J67:J71" si="12">I67-G67</f>
        <v>-64700</v>
      </c>
      <c r="K67" s="45">
        <v>7775257.7800000003</v>
      </c>
      <c r="L67" s="29">
        <f t="shared" ref="L67:L72" si="13">K67-I67</f>
        <v>-1507942.2199999997</v>
      </c>
      <c r="M67" s="45">
        <v>7775257.7800000003</v>
      </c>
      <c r="N67" s="29">
        <f t="shared" ref="N67:N71" si="14">B67+C67-D67+E67+K67-M67</f>
        <v>0</v>
      </c>
    </row>
    <row r="68" spans="1:14" s="19" customFormat="1" ht="141.75" x14ac:dyDescent="0.25">
      <c r="A68" s="22" t="s">
        <v>58</v>
      </c>
      <c r="B68" s="37">
        <v>0</v>
      </c>
      <c r="C68" s="37">
        <v>0</v>
      </c>
      <c r="D68" s="37">
        <v>0</v>
      </c>
      <c r="E68" s="37">
        <v>0</v>
      </c>
      <c r="F68" s="35">
        <v>91556600</v>
      </c>
      <c r="G68" s="35">
        <v>91556600</v>
      </c>
      <c r="H68" s="29">
        <f t="shared" si="11"/>
        <v>0</v>
      </c>
      <c r="I68" s="35">
        <v>91556600</v>
      </c>
      <c r="J68" s="29">
        <f t="shared" si="12"/>
        <v>0</v>
      </c>
      <c r="K68" s="45">
        <v>64762454.810000002</v>
      </c>
      <c r="L68" s="29">
        <f t="shared" si="13"/>
        <v>-26794145.189999998</v>
      </c>
      <c r="M68" s="45">
        <v>64762454.810000002</v>
      </c>
      <c r="N68" s="29">
        <f t="shared" si="14"/>
        <v>0</v>
      </c>
    </row>
    <row r="69" spans="1:14" s="19" customFormat="1" ht="173.25" x14ac:dyDescent="0.25">
      <c r="A69" s="22" t="s">
        <v>80</v>
      </c>
      <c r="B69" s="37">
        <v>0</v>
      </c>
      <c r="C69" s="37">
        <v>0</v>
      </c>
      <c r="D69" s="37">
        <v>0</v>
      </c>
      <c r="E69" s="37">
        <v>0</v>
      </c>
      <c r="F69" s="35">
        <v>2499800</v>
      </c>
      <c r="G69" s="35">
        <v>2499800</v>
      </c>
      <c r="H69" s="29">
        <f t="shared" si="11"/>
        <v>0</v>
      </c>
      <c r="I69" s="35">
        <v>2499800</v>
      </c>
      <c r="J69" s="29">
        <f t="shared" si="12"/>
        <v>0</v>
      </c>
      <c r="K69" s="45">
        <v>1556899.75</v>
      </c>
      <c r="L69" s="29">
        <f t="shared" si="13"/>
        <v>-942900.25</v>
      </c>
      <c r="M69" s="45">
        <v>1556899.75</v>
      </c>
      <c r="N69" s="29">
        <f t="shared" si="14"/>
        <v>0</v>
      </c>
    </row>
    <row r="70" spans="1:14" s="19" customFormat="1" ht="47.25" x14ac:dyDescent="0.25">
      <c r="A70" s="22" t="s">
        <v>71</v>
      </c>
      <c r="B70" s="35">
        <v>0</v>
      </c>
      <c r="C70" s="35">
        <v>0</v>
      </c>
      <c r="D70" s="35">
        <v>0</v>
      </c>
      <c r="E70" s="35">
        <v>0</v>
      </c>
      <c r="F70" s="35">
        <v>0</v>
      </c>
      <c r="G70" s="35">
        <f>400000+500000+1150000+300000</f>
        <v>2350000</v>
      </c>
      <c r="H70" s="29">
        <f t="shared" si="11"/>
        <v>2350000</v>
      </c>
      <c r="I70" s="35">
        <f>400000+500000+1150000+300000</f>
        <v>2350000</v>
      </c>
      <c r="J70" s="29">
        <f t="shared" si="12"/>
        <v>0</v>
      </c>
      <c r="K70" s="47">
        <f>400000+500000+1150000+224910</f>
        <v>2274910</v>
      </c>
      <c r="L70" s="29">
        <f t="shared" si="13"/>
        <v>-75090</v>
      </c>
      <c r="M70" s="47">
        <f>400000+500000+1150000+224910</f>
        <v>2274910</v>
      </c>
      <c r="N70" s="29">
        <f t="shared" si="14"/>
        <v>0</v>
      </c>
    </row>
    <row r="71" spans="1:14" s="19" customFormat="1" ht="94.5" x14ac:dyDescent="0.25">
      <c r="A71" s="22" t="s">
        <v>74</v>
      </c>
      <c r="B71" s="35"/>
      <c r="C71" s="35">
        <v>0</v>
      </c>
      <c r="D71" s="35">
        <v>0</v>
      </c>
      <c r="E71" s="35">
        <v>0</v>
      </c>
      <c r="F71" s="35">
        <v>0</v>
      </c>
      <c r="G71" s="35">
        <v>336000</v>
      </c>
      <c r="H71" s="29">
        <f t="shared" si="11"/>
        <v>336000</v>
      </c>
      <c r="I71" s="35">
        <v>336000</v>
      </c>
      <c r="J71" s="29">
        <f t="shared" si="12"/>
        <v>0</v>
      </c>
      <c r="K71" s="47">
        <v>250000</v>
      </c>
      <c r="L71" s="29">
        <f t="shared" si="13"/>
        <v>-86000</v>
      </c>
      <c r="M71" s="47">
        <v>250000</v>
      </c>
      <c r="N71" s="29">
        <f t="shared" si="14"/>
        <v>0</v>
      </c>
    </row>
    <row r="72" spans="1:14" s="19" customFormat="1" x14ac:dyDescent="0.25">
      <c r="A72" s="18" t="s">
        <v>16</v>
      </c>
      <c r="B72" s="36">
        <f t="shared" ref="B72" si="15">SUM(B67:B70)</f>
        <v>0</v>
      </c>
      <c r="C72" s="36">
        <f>SUM(C67:C71)</f>
        <v>0</v>
      </c>
      <c r="D72" s="36">
        <f>SUM(D67:D71)</f>
        <v>0</v>
      </c>
      <c r="E72" s="36">
        <f>SUM(E67:E71)</f>
        <v>0</v>
      </c>
      <c r="F72" s="36">
        <f>SUM(F67:F71)</f>
        <v>99396300</v>
      </c>
      <c r="G72" s="36">
        <f>SUM(G67:G71)</f>
        <v>106090300</v>
      </c>
      <c r="H72" s="36">
        <f t="shared" ref="H72" si="16">SUM(H67:H69)</f>
        <v>4008000</v>
      </c>
      <c r="I72" s="36">
        <f>SUM(I67:I71)</f>
        <v>106025600</v>
      </c>
      <c r="J72" s="36">
        <f t="shared" ref="J72" si="17">SUM(J67:J70)</f>
        <v>-64700</v>
      </c>
      <c r="K72" s="36">
        <f>SUM(K67:K71)</f>
        <v>76619522.340000004</v>
      </c>
      <c r="L72" s="33">
        <f t="shared" si="13"/>
        <v>-29406077.659999996</v>
      </c>
      <c r="M72" s="36">
        <f>SUM(M67:M71)</f>
        <v>76619522.340000004</v>
      </c>
      <c r="N72" s="46">
        <f>SUM(N67:N70)</f>
        <v>0</v>
      </c>
    </row>
    <row r="73" spans="1:14" s="17" customFormat="1" x14ac:dyDescent="0.25">
      <c r="A73" s="50" t="s">
        <v>3</v>
      </c>
      <c r="B73" s="51"/>
      <c r="C73" s="51"/>
      <c r="D73" s="51"/>
      <c r="E73" s="51"/>
      <c r="F73" s="51"/>
      <c r="G73" s="54"/>
      <c r="H73" s="54"/>
      <c r="I73" s="54"/>
      <c r="J73" s="54"/>
      <c r="K73" s="54"/>
      <c r="L73" s="54"/>
      <c r="M73" s="54"/>
      <c r="N73" s="55"/>
    </row>
    <row r="74" spans="1:14" s="17" customFormat="1" ht="63" x14ac:dyDescent="0.25">
      <c r="A74" s="15" t="s">
        <v>31</v>
      </c>
      <c r="B74" s="39">
        <v>0</v>
      </c>
      <c r="C74" s="39">
        <v>0</v>
      </c>
      <c r="D74" s="39">
        <v>0</v>
      </c>
      <c r="E74" s="39">
        <v>0</v>
      </c>
      <c r="F74" s="35">
        <v>401210100</v>
      </c>
      <c r="G74" s="35">
        <f>413839700-12629600</f>
        <v>401210100</v>
      </c>
      <c r="H74" s="29">
        <f t="shared" ref="H74:H76" si="18">G74-F74</f>
        <v>0</v>
      </c>
      <c r="I74" s="35">
        <v>413839700</v>
      </c>
      <c r="J74" s="29">
        <f t="shared" ref="J74:J76" si="19">I74-G74</f>
        <v>12629600</v>
      </c>
      <c r="K74" s="45">
        <v>289989000</v>
      </c>
      <c r="L74" s="29">
        <f t="shared" ref="L74:L76" si="20">K74-I74</f>
        <v>-123850700</v>
      </c>
      <c r="M74" s="45">
        <v>289989000</v>
      </c>
      <c r="N74" s="29">
        <f t="shared" ref="N74:N76" si="21">B74+C74-D74+E74+K74-M74</f>
        <v>0</v>
      </c>
    </row>
    <row r="75" spans="1:14" s="17" customFormat="1" ht="78.75" x14ac:dyDescent="0.25">
      <c r="A75" s="15" t="s">
        <v>78</v>
      </c>
      <c r="B75" s="48"/>
      <c r="C75" s="48"/>
      <c r="D75" s="48">
        <v>0</v>
      </c>
      <c r="E75" s="48">
        <v>0</v>
      </c>
      <c r="F75" s="35">
        <v>0</v>
      </c>
      <c r="G75" s="35">
        <v>4857000</v>
      </c>
      <c r="H75" s="29">
        <f t="shared" si="18"/>
        <v>4857000</v>
      </c>
      <c r="I75" s="35">
        <v>4857000</v>
      </c>
      <c r="J75" s="29">
        <f t="shared" si="19"/>
        <v>0</v>
      </c>
      <c r="K75" s="47">
        <v>4857000</v>
      </c>
      <c r="L75" s="29">
        <f t="shared" si="20"/>
        <v>0</v>
      </c>
      <c r="M75" s="47">
        <v>4857000</v>
      </c>
      <c r="N75" s="29">
        <f t="shared" si="21"/>
        <v>0</v>
      </c>
    </row>
    <row r="76" spans="1:14" s="17" customFormat="1" ht="63" x14ac:dyDescent="0.25">
      <c r="A76" s="15" t="s">
        <v>79</v>
      </c>
      <c r="B76" s="48"/>
      <c r="C76" s="48"/>
      <c r="D76" s="48">
        <v>0</v>
      </c>
      <c r="E76" s="48">
        <v>0</v>
      </c>
      <c r="F76" s="35">
        <v>0</v>
      </c>
      <c r="G76" s="35">
        <v>24893200</v>
      </c>
      <c r="H76" s="29">
        <f t="shared" si="18"/>
        <v>24893200</v>
      </c>
      <c r="I76" s="35">
        <v>24893200</v>
      </c>
      <c r="J76" s="29">
        <f t="shared" si="19"/>
        <v>0</v>
      </c>
      <c r="K76" s="47">
        <v>24893200</v>
      </c>
      <c r="L76" s="29">
        <f t="shared" si="20"/>
        <v>0</v>
      </c>
      <c r="M76" s="47">
        <v>24893200</v>
      </c>
      <c r="N76" s="29">
        <f t="shared" si="21"/>
        <v>0</v>
      </c>
    </row>
    <row r="77" spans="1:14" s="12" customFormat="1" x14ac:dyDescent="0.25">
      <c r="A77" s="13" t="s">
        <v>17</v>
      </c>
      <c r="B77" s="38">
        <f t="shared" ref="B77:E77" si="22">B74</f>
        <v>0</v>
      </c>
      <c r="C77" s="38">
        <f t="shared" si="22"/>
        <v>0</v>
      </c>
      <c r="D77" s="38">
        <f t="shared" si="22"/>
        <v>0</v>
      </c>
      <c r="E77" s="38">
        <f t="shared" si="22"/>
        <v>0</v>
      </c>
      <c r="F77" s="38">
        <f>F74</f>
        <v>401210100</v>
      </c>
      <c r="G77" s="38">
        <f>SUM(G74:G76)</f>
        <v>430960300</v>
      </c>
      <c r="H77" s="38">
        <f t="shared" ref="H77:N77" si="23">SUM(H74:H76)</f>
        <v>29750200</v>
      </c>
      <c r="I77" s="38">
        <f t="shared" si="23"/>
        <v>443589900</v>
      </c>
      <c r="J77" s="38">
        <f t="shared" si="23"/>
        <v>12629600</v>
      </c>
      <c r="K77" s="38">
        <f t="shared" si="23"/>
        <v>319739200</v>
      </c>
      <c r="L77" s="38">
        <f t="shared" si="23"/>
        <v>-123850700</v>
      </c>
      <c r="M77" s="38">
        <f t="shared" si="23"/>
        <v>319739200</v>
      </c>
      <c r="N77" s="38">
        <f t="shared" si="23"/>
        <v>0</v>
      </c>
    </row>
    <row r="78" spans="1:14" s="6" customFormat="1" x14ac:dyDescent="0.25">
      <c r="A78" s="9" t="s">
        <v>18</v>
      </c>
      <c r="B78" s="40">
        <f t="shared" ref="B78:N78" si="24">B77+B72+B65+B26</f>
        <v>0</v>
      </c>
      <c r="C78" s="40">
        <f t="shared" si="24"/>
        <v>33696.81</v>
      </c>
      <c r="D78" s="40">
        <f t="shared" si="24"/>
        <v>33696.81</v>
      </c>
      <c r="E78" s="40">
        <f t="shared" si="24"/>
        <v>0</v>
      </c>
      <c r="F78" s="40">
        <f t="shared" si="24"/>
        <v>8238511400</v>
      </c>
      <c r="G78" s="40">
        <f t="shared" si="24"/>
        <v>8748872781.1100006</v>
      </c>
      <c r="H78" s="40">
        <f t="shared" si="24"/>
        <v>453728481.11000001</v>
      </c>
      <c r="I78" s="40">
        <f t="shared" si="24"/>
        <v>8405858081.1100006</v>
      </c>
      <c r="J78" s="40">
        <f t="shared" si="24"/>
        <v>-343014700</v>
      </c>
      <c r="K78" s="40">
        <f t="shared" si="24"/>
        <v>4677366533.8500004</v>
      </c>
      <c r="L78" s="40">
        <f t="shared" si="24"/>
        <v>-3728491547.2600002</v>
      </c>
      <c r="M78" s="40">
        <f t="shared" si="24"/>
        <v>4677361622.6200008</v>
      </c>
      <c r="N78" s="40">
        <f t="shared" si="24"/>
        <v>4911.2299999957904</v>
      </c>
    </row>
    <row r="79" spans="1:14" x14ac:dyDescent="0.25">
      <c r="A79" s="10"/>
      <c r="B79" s="10"/>
      <c r="C79" s="10"/>
      <c r="D79" s="10"/>
      <c r="E79" s="10"/>
      <c r="F79" s="5"/>
    </row>
    <row r="80" spans="1:14" ht="21" customHeight="1" x14ac:dyDescent="0.25">
      <c r="A80" s="14"/>
      <c r="B80" s="14"/>
      <c r="C80" s="14"/>
      <c r="D80" s="14"/>
      <c r="E80" s="14"/>
      <c r="M80" s="49"/>
    </row>
    <row r="81" spans="1:11" ht="19.5" x14ac:dyDescent="0.25">
      <c r="A81" s="14"/>
      <c r="B81" s="14"/>
      <c r="C81" s="14"/>
      <c r="D81" s="14"/>
      <c r="E81" s="14"/>
      <c r="K81" s="44"/>
    </row>
  </sheetData>
  <mergeCells count="6">
    <mergeCell ref="A66:N66"/>
    <mergeCell ref="A73:N73"/>
    <mergeCell ref="A3:N3"/>
    <mergeCell ref="A4:F4"/>
    <mergeCell ref="A8:N8"/>
    <mergeCell ref="A27:N27"/>
  </mergeCells>
  <pageMargins left="0.39370078740157483" right="0.39370078740157483" top="0.78740157480314965" bottom="0.39370078740157483" header="0.39370078740157483" footer="0"/>
  <pageSetup paperSize="9" scale="44" fitToHeight="5" orientation="landscape" r:id="rId1"/>
  <headerFooter>
    <oddFooter>&amp;C
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№ 5</vt:lpstr>
      <vt:lpstr>'таблица № 5'!Заголовки_для_печати</vt:lpstr>
      <vt:lpstr>'таблица № 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2025-08-23T03:58:44Z</cp:lastPrinted>
  <dcterms:created xsi:type="dcterms:W3CDTF">2013-11-25T11:49:42Z</dcterms:created>
  <dcterms:modified xsi:type="dcterms:W3CDTF">2025-11-26T06:00:53Z</dcterms:modified>
</cp:coreProperties>
</file>